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evinKaufman\Tax Foundation Dropbox\Kevin Kaufman\PC\Downloads\"/>
    </mc:Choice>
  </mc:AlternateContent>
  <xr:revisionPtr revIDLastSave="0" documentId="8_{483973E9-B646-4112-9346-4424899911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6" r:id="rId1"/>
    <sheet name="TABLE 2" sheetId="5" r:id="rId2"/>
    <sheet name="Table 3" sheetId="16" r:id="rId3"/>
    <sheet name="TABLE 4" sheetId="9" r:id="rId4"/>
    <sheet name="TABLE 5" sheetId="10" r:id="rId5"/>
    <sheet name="TABLE 6" sheetId="11" r:id="rId6"/>
    <sheet name="TABLE 7" sheetId="31" r:id="rId7"/>
    <sheet name="APPENDIX B" sheetId="28" r:id="rId8"/>
    <sheet name="APPENDIX C" sheetId="29" r:id="rId9"/>
  </sheets>
  <externalReferences>
    <externalReference r:id="rId10"/>
    <externalReference r:id="rId11"/>
    <externalReference r:id="rId12"/>
    <externalReference r:id="rId13"/>
  </externalReferenc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28" l="1"/>
  <c r="C32" i="11"/>
  <c r="B32" i="11"/>
  <c r="C17" i="11"/>
  <c r="B17" i="11"/>
  <c r="B27" i="11"/>
  <c r="B28" i="11"/>
  <c r="B25" i="11"/>
  <c r="B16" i="11"/>
  <c r="B13" i="11"/>
  <c r="B11" i="11"/>
  <c r="C27" i="28"/>
  <c r="C26" i="28"/>
  <c r="C25" i="28"/>
  <c r="C24" i="28"/>
  <c r="C23" i="28"/>
  <c r="C21" i="28"/>
  <c r="C20" i="28"/>
  <c r="C19" i="28"/>
  <c r="C18" i="28"/>
  <c r="C17" i="28"/>
  <c r="C16" i="28"/>
  <c r="C15" i="28"/>
  <c r="C14" i="28"/>
  <c r="C11" i="28"/>
  <c r="C10" i="28"/>
  <c r="C9" i="28"/>
  <c r="C8" i="28"/>
  <c r="C7" i="28"/>
  <c r="C6" i="28"/>
  <c r="C151" i="29" l="1"/>
  <c r="C128" i="29"/>
  <c r="C143" i="29"/>
  <c r="C135" i="29"/>
  <c r="E17" i="31"/>
  <c r="D68" i="31"/>
  <c r="C366" i="29"/>
  <c r="C255" i="29"/>
  <c r="C220" i="29"/>
  <c r="C102" i="29"/>
  <c r="C82" i="29"/>
  <c r="C374" i="29"/>
  <c r="C373" i="29"/>
  <c r="C372" i="29"/>
  <c r="C365" i="29"/>
  <c r="C358" i="29"/>
  <c r="C357" i="29"/>
  <c r="C356" i="29"/>
  <c r="C351" i="29"/>
  <c r="C350" i="29"/>
  <c r="C349" i="29"/>
  <c r="C342" i="29"/>
  <c r="C341" i="29"/>
  <c r="C330" i="29"/>
  <c r="C329" i="29"/>
  <c r="C328" i="29"/>
  <c r="C321" i="29"/>
  <c r="C320" i="29"/>
  <c r="C319" i="29"/>
  <c r="C313" i="29"/>
  <c r="C314" i="29" s="1"/>
  <c r="C307" i="29"/>
  <c r="C306" i="29"/>
  <c r="C305" i="29"/>
  <c r="C298" i="29"/>
  <c r="C297" i="29"/>
  <c r="C296" i="29"/>
  <c r="C289" i="29"/>
  <c r="C290" i="29" s="1"/>
  <c r="C283" i="29"/>
  <c r="C282" i="29"/>
  <c r="C278" i="29"/>
  <c r="C270" i="29"/>
  <c r="C269" i="29"/>
  <c r="C268" i="29"/>
  <c r="C263" i="29"/>
  <c r="C262" i="29"/>
  <c r="C256" i="29"/>
  <c r="C249" i="29"/>
  <c r="C248" i="29"/>
  <c r="C247" i="29"/>
  <c r="C240" i="29"/>
  <c r="C239" i="29"/>
  <c r="C233" i="29"/>
  <c r="C232" i="29"/>
  <c r="C221" i="29"/>
  <c r="C219" i="29"/>
  <c r="C213" i="29"/>
  <c r="C214" i="29" s="1"/>
  <c r="C208" i="29"/>
  <c r="C209" i="29" s="1"/>
  <c r="C203" i="29"/>
  <c r="C202" i="29"/>
  <c r="C201" i="29"/>
  <c r="C200" i="29"/>
  <c r="C199" i="29"/>
  <c r="C195" i="29"/>
  <c r="C194" i="29"/>
  <c r="C193" i="29"/>
  <c r="C186" i="29"/>
  <c r="C185" i="29"/>
  <c r="C187" i="29" s="1"/>
  <c r="C174" i="29"/>
  <c r="C169" i="29"/>
  <c r="C168" i="29"/>
  <c r="C161" i="29"/>
  <c r="C160" i="29"/>
  <c r="C155" i="29"/>
  <c r="C156" i="29" s="1"/>
  <c r="C150" i="29"/>
  <c r="C149" i="29"/>
  <c r="C148" i="29"/>
  <c r="C147" i="29"/>
  <c r="C142" i="29"/>
  <c r="C141" i="29"/>
  <c r="C140" i="29"/>
  <c r="C139" i="29"/>
  <c r="C134" i="29"/>
  <c r="C133" i="29"/>
  <c r="C132" i="29"/>
  <c r="C126" i="29"/>
  <c r="C125" i="29"/>
  <c r="C124" i="29"/>
  <c r="C118" i="29"/>
  <c r="C117" i="29"/>
  <c r="C111" i="29"/>
  <c r="C110" i="29"/>
  <c r="C103" i="29"/>
  <c r="C104" i="29"/>
  <c r="C101" i="29"/>
  <c r="C95" i="29"/>
  <c r="C94" i="29"/>
  <c r="C88" i="29"/>
  <c r="C89" i="29" s="1"/>
  <c r="C83" i="29"/>
  <c r="C76" i="29"/>
  <c r="C75" i="29"/>
  <c r="C74" i="29"/>
  <c r="C70" i="29"/>
  <c r="C64" i="29"/>
  <c r="C65" i="29" s="1"/>
  <c r="C59" i="29"/>
  <c r="C58" i="29"/>
  <c r="C53" i="29"/>
  <c r="C54" i="29" s="1"/>
  <c r="C48" i="29"/>
  <c r="C47" i="29"/>
  <c r="C46" i="29"/>
  <c r="C45" i="29"/>
  <c r="C44" i="29"/>
  <c r="C36" i="29"/>
  <c r="C38" i="29"/>
  <c r="C37" i="29"/>
  <c r="C35" i="29"/>
  <c r="C30" i="29"/>
  <c r="C29" i="29"/>
  <c r="C28" i="29"/>
  <c r="C22" i="29"/>
  <c r="C15" i="29"/>
  <c r="C14" i="29"/>
  <c r="C13" i="29"/>
  <c r="C8" i="29"/>
  <c r="C9" i="29" s="1"/>
  <c r="C348" i="29"/>
  <c r="C347" i="29"/>
  <c r="C337" i="29"/>
  <c r="C326" i="29"/>
  <c r="C304" i="29"/>
  <c r="C261" i="29"/>
  <c r="C231" i="29"/>
  <c r="C230" i="29"/>
  <c r="C228" i="29"/>
  <c r="C227" i="29"/>
  <c r="C218" i="29"/>
  <c r="C192" i="29"/>
  <c r="C191" i="29"/>
  <c r="C179" i="29"/>
  <c r="C181" i="29" s="1"/>
  <c r="C175" i="29"/>
  <c r="C167" i="29"/>
  <c r="C116" i="29"/>
  <c r="C93" i="29"/>
  <c r="C69" i="29"/>
  <c r="C68" i="29"/>
  <c r="C43" i="29"/>
  <c r="C27" i="29"/>
  <c r="C21" i="29"/>
  <c r="D69" i="31"/>
  <c r="E54" i="31" l="1"/>
  <c r="D60" i="31"/>
  <c r="E36" i="31"/>
  <c r="D40" i="31"/>
  <c r="E41" i="31"/>
  <c r="E58" i="31"/>
  <c r="E38" i="31"/>
  <c r="E51" i="31"/>
  <c r="E43" i="31"/>
  <c r="D62" i="31"/>
  <c r="D13" i="31"/>
  <c r="D24" i="31"/>
  <c r="D32" i="31"/>
  <c r="D48" i="31"/>
  <c r="D35" i="31"/>
  <c r="D47" i="31"/>
  <c r="E29" i="31"/>
  <c r="D53" i="31"/>
  <c r="D25" i="31"/>
  <c r="D50" i="31"/>
  <c r="D12" i="31"/>
  <c r="D55" i="31"/>
  <c r="E23" i="31"/>
  <c r="C23" i="29"/>
  <c r="C367" i="29"/>
  <c r="C241" i="29"/>
  <c r="C359" i="29"/>
  <c r="C284" i="29"/>
  <c r="C343" i="29"/>
  <c r="D15" i="31"/>
  <c r="C375" i="29"/>
  <c r="D49" i="31" s="1"/>
  <c r="C331" i="29"/>
  <c r="C322" i="29"/>
  <c r="C308" i="29"/>
  <c r="C271" i="29"/>
  <c r="E52" i="31"/>
  <c r="C204" i="29"/>
  <c r="C163" i="29"/>
  <c r="D42" i="31"/>
  <c r="C112" i="29"/>
  <c r="E44" i="31" s="1"/>
  <c r="C39" i="29"/>
  <c r="E31" i="31" s="1"/>
  <c r="C257" i="29"/>
  <c r="C119" i="29"/>
  <c r="D22" i="31" s="1"/>
  <c r="C96" i="29"/>
  <c r="E11" i="31" s="1"/>
  <c r="D56" i="31"/>
  <c r="C196" i="29"/>
  <c r="D14" i="31"/>
  <c r="D19" i="31"/>
  <c r="C71" i="29"/>
  <c r="D34" i="31" s="1"/>
  <c r="C352" i="29"/>
  <c r="E20" i="31"/>
  <c r="E16" i="31"/>
  <c r="C250" i="29"/>
  <c r="C60" i="29"/>
  <c r="D61" i="31" s="1"/>
  <c r="C222" i="29"/>
  <c r="C170" i="29"/>
  <c r="D46" i="31" s="1"/>
  <c r="C31" i="29"/>
  <c r="C235" i="29"/>
  <c r="C264" i="29"/>
  <c r="E27" i="31"/>
  <c r="C105" i="29"/>
  <c r="E39" i="31" s="1"/>
  <c r="C84" i="29"/>
  <c r="C49" i="29"/>
  <c r="D28" i="31" s="1"/>
  <c r="C16" i="29"/>
  <c r="C279" i="29"/>
  <c r="E45" i="31"/>
  <c r="C77" i="29"/>
  <c r="E30" i="31" s="1"/>
  <c r="C299" i="29"/>
  <c r="D17" i="31"/>
  <c r="E62" i="31"/>
  <c r="R13" i="6"/>
  <c r="D43" i="31" l="1"/>
  <c r="E25" i="31"/>
  <c r="E32" i="31"/>
  <c r="D36" i="31"/>
  <c r="E35" i="31"/>
  <c r="E48" i="31"/>
  <c r="E47" i="31"/>
  <c r="E12" i="31"/>
  <c r="D29" i="31"/>
  <c r="E60" i="31"/>
  <c r="E55" i="31"/>
  <c r="E53" i="31"/>
  <c r="D51" i="31"/>
  <c r="E40" i="31"/>
  <c r="D38" i="31"/>
  <c r="D23" i="31"/>
  <c r="D41" i="31"/>
  <c r="D58" i="31"/>
  <c r="E18" i="31" s="1"/>
  <c r="D54" i="31"/>
  <c r="E24" i="31"/>
  <c r="E50" i="31"/>
  <c r="E13" i="31"/>
  <c r="E61" i="31"/>
  <c r="D59" i="31"/>
  <c r="D33" i="31"/>
  <c r="D57" i="31"/>
  <c r="D11" i="31"/>
  <c r="E15" i="31"/>
  <c r="E49" i="31"/>
  <c r="E56" i="31"/>
  <c r="D27" i="31"/>
  <c r="D52" i="31"/>
  <c r="E42" i="31"/>
  <c r="E22" i="31"/>
  <c r="D44" i="31"/>
  <c r="D31" i="31"/>
  <c r="E46" i="31"/>
  <c r="E34" i="31"/>
  <c r="E19" i="31"/>
  <c r="D16" i="31"/>
  <c r="E14" i="31"/>
  <c r="D20" i="31"/>
  <c r="D39" i="31"/>
  <c r="E28" i="31"/>
  <c r="E37" i="31"/>
  <c r="D37" i="31"/>
  <c r="D21" i="31"/>
  <c r="E21" i="31"/>
  <c r="D30" i="31"/>
  <c r="D45" i="31"/>
  <c r="B34" i="11"/>
  <c r="B33" i="11"/>
  <c r="B31" i="11"/>
  <c r="C31" i="11" s="1"/>
  <c r="B30" i="11"/>
  <c r="C30" i="11" s="1"/>
  <c r="C28" i="11"/>
  <c r="B29" i="11"/>
  <c r="B26" i="11"/>
  <c r="C27" i="11"/>
  <c r="B18" i="11"/>
  <c r="C18" i="11" s="1"/>
  <c r="C16" i="11"/>
  <c r="B15" i="11"/>
  <c r="C15" i="11" s="1"/>
  <c r="B14" i="11"/>
  <c r="C14" i="11" s="1"/>
  <c r="B12" i="11"/>
  <c r="C12" i="11" s="1"/>
  <c r="B10" i="11"/>
  <c r="C10" i="11" s="1"/>
  <c r="B9" i="11"/>
  <c r="C9" i="11" s="1"/>
  <c r="R8" i="6"/>
  <c r="Q11" i="6"/>
  <c r="Q8" i="6"/>
  <c r="Q7" i="6"/>
  <c r="Q13" i="6" s="1"/>
  <c r="C11" i="11"/>
  <c r="P8" i="6"/>
  <c r="C33" i="11"/>
  <c r="O13" i="6"/>
  <c r="O9" i="6"/>
  <c r="C26" i="11"/>
  <c r="C29" i="11"/>
  <c r="C34" i="11"/>
  <c r="O8" i="6"/>
  <c r="N8" i="6"/>
  <c r="N13" i="6"/>
  <c r="N9" i="6"/>
  <c r="C13" i="11"/>
  <c r="M11" i="6"/>
  <c r="M13" i="6"/>
  <c r="L8" i="6"/>
  <c r="L9" i="6"/>
  <c r="L13" i="6"/>
  <c r="K13" i="6"/>
  <c r="I13" i="6"/>
  <c r="H13" i="6"/>
  <c r="G13" i="6"/>
  <c r="F13" i="6"/>
  <c r="D13" i="6"/>
  <c r="C13" i="6"/>
  <c r="B13" i="6"/>
  <c r="J11" i="6"/>
  <c r="J13" i="6"/>
  <c r="E11" i="6"/>
  <c r="E13" i="6" s="1"/>
  <c r="K9" i="6"/>
  <c r="I9" i="6"/>
  <c r="H9" i="6"/>
  <c r="F9" i="6"/>
  <c r="E9" i="6"/>
  <c r="D9" i="6"/>
  <c r="C9" i="6"/>
  <c r="B9" i="6"/>
  <c r="G8" i="6"/>
  <c r="G9" i="6"/>
  <c r="J9" i="6"/>
  <c r="M9" i="6"/>
  <c r="P9" i="6"/>
  <c r="P13" i="6"/>
  <c r="E26" i="31" l="1"/>
  <c r="D26" i="31"/>
  <c r="D18" i="31"/>
  <c r="E59" i="31"/>
  <c r="E33" i="31"/>
  <c r="E57" i="31"/>
  <c r="Q9" i="6"/>
  <c r="C25" i="11"/>
  <c r="D44" i="16"/>
  <c r="E57" i="16"/>
  <c r="D57" i="16"/>
  <c r="E36" i="16"/>
  <c r="D40" i="16"/>
  <c r="E40" i="16"/>
  <c r="D37" i="16"/>
  <c r="E37" i="16"/>
  <c r="D20" i="16"/>
  <c r="E20" i="16"/>
  <c r="D26" i="16"/>
  <c r="D25" i="16"/>
  <c r="D27" i="16"/>
  <c r="D21" i="16"/>
  <c r="E21" i="16"/>
  <c r="D17" i="16"/>
  <c r="D45" i="16"/>
  <c r="E45" i="16"/>
  <c r="E61" i="16" l="1"/>
  <c r="E44" i="16"/>
  <c r="D31" i="16"/>
  <c r="D36" i="16"/>
  <c r="D41" i="16"/>
  <c r="E8" i="5"/>
  <c r="E12" i="16"/>
  <c r="E53" i="16"/>
  <c r="E34" i="16"/>
  <c r="D48" i="16"/>
  <c r="D14" i="16"/>
  <c r="D33" i="16"/>
  <c r="E30" i="16"/>
  <c r="D19" i="16"/>
  <c r="D32" i="16"/>
  <c r="D28" i="16"/>
  <c r="E28" i="16"/>
  <c r="E18" i="16"/>
  <c r="E11" i="16"/>
  <c r="E16" i="16"/>
  <c r="E13" i="16"/>
  <c r="E42" i="16"/>
  <c r="D23" i="16"/>
  <c r="E23" i="16"/>
  <c r="E52" i="16"/>
  <c r="D52" i="16"/>
  <c r="E55" i="16"/>
  <c r="D55" i="16"/>
  <c r="E10" i="16"/>
  <c r="D10" i="16"/>
  <c r="E46" i="16"/>
  <c r="D46" i="16"/>
  <c r="E35" i="16"/>
  <c r="D35" i="16"/>
  <c r="D47" i="16"/>
  <c r="E47" i="16"/>
  <c r="D29" i="16"/>
  <c r="E29" i="16"/>
  <c r="D50" i="16"/>
  <c r="E50" i="16"/>
  <c r="E24" i="16"/>
  <c r="D24" i="16"/>
  <c r="E59" i="16"/>
  <c r="D59" i="16"/>
  <c r="D54" i="16"/>
  <c r="E54" i="16"/>
  <c r="D39" i="16"/>
  <c r="E39" i="16"/>
  <c r="E22" i="16"/>
  <c r="D22" i="16"/>
  <c r="D51" i="16"/>
  <c r="E51" i="16"/>
  <c r="E56" i="16"/>
  <c r="D56" i="16"/>
  <c r="D38" i="16"/>
  <c r="E38" i="16"/>
  <c r="D49" i="16"/>
  <c r="E49" i="16"/>
  <c r="E8" i="16"/>
  <c r="D8" i="16"/>
  <c r="E58" i="16"/>
  <c r="D58" i="16"/>
  <c r="E31" i="16" l="1"/>
  <c r="D12" i="16"/>
  <c r="D34" i="16"/>
  <c r="D53" i="16"/>
  <c r="E41" i="16"/>
  <c r="D30" i="16"/>
  <c r="E14" i="16"/>
  <c r="E19" i="16"/>
  <c r="E48" i="16"/>
  <c r="E33" i="16"/>
  <c r="C63" i="5"/>
  <c r="E32" i="16"/>
  <c r="D18" i="16"/>
  <c r="D11" i="16"/>
  <c r="D16" i="16"/>
  <c r="D13" i="16"/>
  <c r="D42" i="16"/>
  <c r="D43" i="16"/>
  <c r="E43" i="16"/>
  <c r="D15" i="16"/>
  <c r="E15" i="16"/>
  <c r="D9" i="16"/>
  <c r="E9" i="16"/>
  <c r="T13" i="6" l="1"/>
  <c r="T9" i="6"/>
  <c r="S13" i="6"/>
  <c r="S9" i="6"/>
  <c r="D61" i="16"/>
  <c r="R9" i="6"/>
  <c r="D9" i="5" l="1"/>
  <c r="D10" i="5" s="1"/>
  <c r="E9" i="5"/>
  <c r="E10" i="5" l="1"/>
  <c r="D11" i="5"/>
  <c r="E11" i="5" l="1"/>
  <c r="D12" i="5"/>
  <c r="E12" i="5" l="1"/>
  <c r="D13" i="5"/>
  <c r="D14" i="5" l="1"/>
  <c r="E13" i="5"/>
  <c r="D15" i="5" l="1"/>
  <c r="E14" i="5"/>
  <c r="D16" i="5" l="1"/>
  <c r="E15" i="5"/>
  <c r="D17" i="5" l="1"/>
  <c r="E16" i="5"/>
  <c r="D18" i="5" l="1"/>
  <c r="E17" i="5"/>
  <c r="E18" i="5" l="1"/>
  <c r="D19" i="5"/>
  <c r="E19" i="5" l="1"/>
  <c r="D20" i="5"/>
  <c r="E20" i="5" l="1"/>
  <c r="D21" i="5"/>
  <c r="D22" i="5" l="1"/>
  <c r="E21" i="5"/>
  <c r="D23" i="5" l="1"/>
  <c r="E22" i="5"/>
  <c r="D24" i="5" l="1"/>
  <c r="E23" i="5"/>
  <c r="D25" i="5" l="1"/>
  <c r="E24" i="5"/>
  <c r="E25" i="5" l="1"/>
  <c r="D26" i="5"/>
  <c r="E26" i="5" l="1"/>
  <c r="D27" i="5"/>
  <c r="D28" i="5" l="1"/>
  <c r="E27" i="5"/>
  <c r="E28" i="5" l="1"/>
  <c r="D29" i="5"/>
  <c r="D30" i="5" l="1"/>
  <c r="E29" i="5"/>
  <c r="D31" i="5" l="1"/>
  <c r="E30" i="5"/>
  <c r="D32" i="5" l="1"/>
  <c r="E31" i="5"/>
  <c r="D33" i="5" l="1"/>
  <c r="E32" i="5"/>
  <c r="D34" i="5" l="1"/>
  <c r="E33" i="5"/>
  <c r="E34" i="5" l="1"/>
  <c r="D35" i="5" l="1"/>
  <c r="D36" i="5" l="1"/>
  <c r="E35" i="5"/>
  <c r="E36" i="5" l="1"/>
  <c r="D37" i="5"/>
  <c r="D38" i="5" l="1"/>
  <c r="E37" i="5"/>
  <c r="E38" i="5" l="1"/>
  <c r="D39" i="5"/>
  <c r="D40" i="5" l="1"/>
  <c r="E39" i="5"/>
  <c r="D41" i="5" l="1"/>
  <c r="E40" i="5"/>
  <c r="E41" i="5" l="1"/>
  <c r="D42" i="5"/>
  <c r="E42" i="5" l="1"/>
  <c r="D43" i="5"/>
  <c r="E43" i="5" l="1"/>
  <c r="D44" i="5"/>
  <c r="E44" i="5" l="1"/>
  <c r="D45" i="5"/>
  <c r="D46" i="5" l="1"/>
  <c r="E45" i="5"/>
  <c r="D47" i="5" l="1"/>
  <c r="E46" i="5"/>
  <c r="D48" i="5" l="1"/>
  <c r="E47" i="5"/>
  <c r="D49" i="5" l="1"/>
  <c r="E48" i="5"/>
  <c r="E49" i="5" l="1"/>
  <c r="D50" i="5"/>
  <c r="E50" i="5" l="1"/>
  <c r="D51" i="5"/>
  <c r="D52" i="5" s="1"/>
  <c r="E52" i="5" s="1"/>
  <c r="E51" i="5" l="1"/>
  <c r="D53" i="5"/>
  <c r="E53" i="5" l="1"/>
  <c r="D54" i="5"/>
  <c r="D55" i="5" l="1"/>
  <c r="E54" i="5"/>
  <c r="D56" i="5" l="1"/>
  <c r="E55" i="5"/>
  <c r="D57" i="5" l="1"/>
  <c r="E56" i="5"/>
  <c r="D58" i="5" l="1"/>
  <c r="E57" i="5"/>
  <c r="E58" i="5" l="1"/>
  <c r="D59" i="5"/>
  <c r="E59" i="5" l="1"/>
  <c r="D61" i="5"/>
  <c r="E61" i="5" l="1"/>
  <c r="D63" i="5"/>
  <c r="E63" i="5" s="1"/>
</calcChain>
</file>

<file path=xl/sharedStrings.xml><?xml version="1.0" encoding="utf-8"?>
<sst xmlns="http://schemas.openxmlformats.org/spreadsheetml/2006/main" count="889" uniqueCount="524">
  <si>
    <t>STATE</t>
  </si>
  <si>
    <t>TYPE OF TAX</t>
  </si>
  <si>
    <t>RATE</t>
  </si>
  <si>
    <t>COMMENTS</t>
  </si>
  <si>
    <t>Alabama</t>
  </si>
  <si>
    <t>AL Cell Service Tax</t>
  </si>
  <si>
    <t>Access, interstate and intrastate</t>
  </si>
  <si>
    <t>E911</t>
  </si>
  <si>
    <t>TOTAL TRANSACTION TAX</t>
  </si>
  <si>
    <t>Alaska</t>
  </si>
  <si>
    <t>Local Sales Tax</t>
  </si>
  <si>
    <t>Local E911</t>
  </si>
  <si>
    <t xml:space="preserve">State USF </t>
  </si>
  <si>
    <t>Arizona</t>
  </si>
  <si>
    <t>State sales (transaction priv.)</t>
  </si>
  <si>
    <t>County sales (transaction priv.)</t>
  </si>
  <si>
    <t>City telecommunications</t>
  </si>
  <si>
    <t>$.20 per month</t>
  </si>
  <si>
    <t>Arkansas</t>
  </si>
  <si>
    <t>State sales tax</t>
  </si>
  <si>
    <t>Local sales taxes</t>
  </si>
  <si>
    <t>State High Cost Fund</t>
  </si>
  <si>
    <t>Wireless 911</t>
  </si>
  <si>
    <t>TRS service &amp; TRS equipment</t>
  </si>
  <si>
    <t>California</t>
  </si>
  <si>
    <t>Local Utility User Tax</t>
  </si>
  <si>
    <t>Avg. of LA (9%) and Sacramento (7%)</t>
  </si>
  <si>
    <t>State 911</t>
  </si>
  <si>
    <t>PUC fee</t>
  </si>
  <si>
    <t>Colorado</t>
  </si>
  <si>
    <t>State Sales Tax</t>
  </si>
  <si>
    <t>access and intrastate</t>
  </si>
  <si>
    <t>Local Sales Tax -- City/County</t>
  </si>
  <si>
    <t>USF</t>
  </si>
  <si>
    <t>Connecticut</t>
  </si>
  <si>
    <t>Delaware</t>
  </si>
  <si>
    <t>Public Utility Gross Receipts Tax</t>
  </si>
  <si>
    <t>Access and intrastate</t>
  </si>
  <si>
    <t>Local 911 tax</t>
  </si>
  <si>
    <t>$.60 / month</t>
  </si>
  <si>
    <t>District of Columbia</t>
  </si>
  <si>
    <t>Telecommunication Privilege Tax</t>
  </si>
  <si>
    <t>Florida</t>
  </si>
  <si>
    <t>State Communications services</t>
  </si>
  <si>
    <t>Local Communications services</t>
  </si>
  <si>
    <t>Georgia</t>
  </si>
  <si>
    <t>Local sales tax</t>
  </si>
  <si>
    <t>Local 911</t>
  </si>
  <si>
    <t>Hawaii</t>
  </si>
  <si>
    <t>Additional county tax</t>
  </si>
  <si>
    <t>PUC Fee</t>
  </si>
  <si>
    <t>$.66 per month</t>
  </si>
  <si>
    <t>Idaho</t>
  </si>
  <si>
    <t>Statewide wireless 911</t>
  </si>
  <si>
    <t>Illinois</t>
  </si>
  <si>
    <t>State telecom excise tax</t>
  </si>
  <si>
    <t>Simplified municipal tax</t>
  </si>
  <si>
    <t>Indiana</t>
  </si>
  <si>
    <t>Utility receipts tax</t>
  </si>
  <si>
    <t>State USF</t>
  </si>
  <si>
    <t>Iowa</t>
  </si>
  <si>
    <t>Local option sales taxes</t>
  </si>
  <si>
    <t>Dual Party Relay Service fee</t>
  </si>
  <si>
    <t>$0.03 per month</t>
  </si>
  <si>
    <t>Kansas</t>
  </si>
  <si>
    <t>Avg. of Wichita (1.0%) &amp; Topeka (2.65%)</t>
  </si>
  <si>
    <t>Kentucky</t>
  </si>
  <si>
    <t>School utility gross receipts</t>
  </si>
  <si>
    <t>Avg Frankfort (3%) and Lousiville (0%)</t>
  </si>
  <si>
    <t>Kentucky USF</t>
  </si>
  <si>
    <t>Kentucky TAP &amp; TRS</t>
  </si>
  <si>
    <t>$.70 / month</t>
  </si>
  <si>
    <t>Communications gross receipts tax</t>
  </si>
  <si>
    <t>Louisiana</t>
  </si>
  <si>
    <t>Intrastate rate</t>
  </si>
  <si>
    <t xml:space="preserve">May vary by carrier </t>
  </si>
  <si>
    <t>Maine</t>
  </si>
  <si>
    <t>State service provider tax</t>
  </si>
  <si>
    <t>911 tax</t>
  </si>
  <si>
    <t>$.45 per month</t>
  </si>
  <si>
    <t>Maine USF</t>
  </si>
  <si>
    <t>MTEAF</t>
  </si>
  <si>
    <t>Maryland</t>
  </si>
  <si>
    <t>Local telecom excise</t>
  </si>
  <si>
    <t>$4.00 per month in Baltimore; no tax in Annapolis</t>
  </si>
  <si>
    <t>County 911</t>
  </si>
  <si>
    <t>Massachusetts</t>
  </si>
  <si>
    <t>interstate and intrastate</t>
  </si>
  <si>
    <t>$.75 per month</t>
  </si>
  <si>
    <t>Michigan</t>
  </si>
  <si>
    <t>State wireless 911</t>
  </si>
  <si>
    <t>County wireless 911</t>
  </si>
  <si>
    <t>Minnesota</t>
  </si>
  <si>
    <t>Interstate and intrastate</t>
  </si>
  <si>
    <t>Telecom access MN fund</t>
  </si>
  <si>
    <t>Mississippi</t>
  </si>
  <si>
    <t>Missouri</t>
  </si>
  <si>
    <t>Local business license tax</t>
  </si>
  <si>
    <t xml:space="preserve">Jefferson City (7%); Kansas City (6% residential) </t>
  </si>
  <si>
    <t>Montana</t>
  </si>
  <si>
    <t>Telecom excise tax</t>
  </si>
  <si>
    <t>911 &amp; E911 tax</t>
  </si>
  <si>
    <t>$1.00 per number per month</t>
  </si>
  <si>
    <t>TDD tax</t>
  </si>
  <si>
    <t>$.10 per number per month</t>
  </si>
  <si>
    <t>Nebraska</t>
  </si>
  <si>
    <t>Access &amp; intrastate</t>
  </si>
  <si>
    <t>City business and occupation tax</t>
  </si>
  <si>
    <t>TRS</t>
  </si>
  <si>
    <t>Nevada</t>
  </si>
  <si>
    <t>Local franchise / gross receipts</t>
  </si>
  <si>
    <t>5% of first $15 intrastate revenues</t>
  </si>
  <si>
    <t>State deaf relay charge</t>
  </si>
  <si>
    <t xml:space="preserve">Nevada USF </t>
  </si>
  <si>
    <t>New Hampshire</t>
  </si>
  <si>
    <t>Communication services tax</t>
  </si>
  <si>
    <t>New Jersey</t>
  </si>
  <si>
    <t>New Mexico</t>
  </si>
  <si>
    <t>State gross receipts (sales) tax</t>
  </si>
  <si>
    <t>City and county gross receipts tax</t>
  </si>
  <si>
    <t>TRS surcharge</t>
  </si>
  <si>
    <t>New York</t>
  </si>
  <si>
    <t>Intrastate and monthly access</t>
  </si>
  <si>
    <t>MCTD sales tax</t>
  </si>
  <si>
    <t>State excise tax (186e)</t>
  </si>
  <si>
    <t>mobile telecom service -- includes interstate</t>
  </si>
  <si>
    <t xml:space="preserve">Local utility gross receipts tax </t>
  </si>
  <si>
    <t>NYC -- 84% of 2.35%; Albany 1%</t>
  </si>
  <si>
    <t xml:space="preserve">$1.20 per month </t>
  </si>
  <si>
    <t>Local wireless 911</t>
  </si>
  <si>
    <t xml:space="preserve">School district utility sales tax </t>
  </si>
  <si>
    <t>North Carolina</t>
  </si>
  <si>
    <t>TRS Charge</t>
  </si>
  <si>
    <t>North Dakota</t>
  </si>
  <si>
    <t>State gross receipts tax</t>
  </si>
  <si>
    <t>Ohio</t>
  </si>
  <si>
    <t>Regulatory fee</t>
  </si>
  <si>
    <t>State/local wireless 911</t>
  </si>
  <si>
    <t>Oklahoma</t>
  </si>
  <si>
    <t>Oregon</t>
  </si>
  <si>
    <t>Local utililty tax</t>
  </si>
  <si>
    <t>No tax on wireless in Portland or Salem</t>
  </si>
  <si>
    <t>RSPF Surcharge</t>
  </si>
  <si>
    <t>Pennsylvania</t>
  </si>
  <si>
    <t>Rhode Island</t>
  </si>
  <si>
    <t>Gross receipts tax</t>
  </si>
  <si>
    <t>911 fee</t>
  </si>
  <si>
    <t>$1.00 per month</t>
  </si>
  <si>
    <t>South Carolina</t>
  </si>
  <si>
    <t>Municipal license tax</t>
  </si>
  <si>
    <t xml:space="preserve">Charleston (1.0%) and Columbia (1.0%) </t>
  </si>
  <si>
    <t>South Dakota</t>
  </si>
  <si>
    <t>local option sales tax</t>
  </si>
  <si>
    <t>911 excise</t>
  </si>
  <si>
    <t>TRS fee</t>
  </si>
  <si>
    <t>Tennessee</t>
  </si>
  <si>
    <t xml:space="preserve">Statewide local rate for intrastate </t>
  </si>
  <si>
    <t xml:space="preserve">911 tax </t>
  </si>
  <si>
    <t xml:space="preserve">Texas </t>
  </si>
  <si>
    <t>Wireless 911 tax</t>
  </si>
  <si>
    <t>$.50 per month per line</t>
  </si>
  <si>
    <t>Texas USF</t>
  </si>
  <si>
    <t>911 Equalization surcharge</t>
  </si>
  <si>
    <t>$.06 per line</t>
  </si>
  <si>
    <t>Utah</t>
  </si>
  <si>
    <t>Local utility wireless</t>
  </si>
  <si>
    <t>Levied at 3.5% max. in SLC and Provo</t>
  </si>
  <si>
    <t xml:space="preserve">Vermont </t>
  </si>
  <si>
    <t>Virginia</t>
  </si>
  <si>
    <t>State communications sales tax</t>
  </si>
  <si>
    <t>Washington</t>
  </si>
  <si>
    <t>B&amp;O / Utility Franchise -- local</t>
  </si>
  <si>
    <t>911 -- state</t>
  </si>
  <si>
    <t>911 -- local</t>
  </si>
  <si>
    <t>West Virginia</t>
  </si>
  <si>
    <t>Wisconsin</t>
  </si>
  <si>
    <t>Access, intrastate and interstate</t>
  </si>
  <si>
    <t>Police and Fire Protection Fee</t>
  </si>
  <si>
    <t>Wyoming</t>
  </si>
  <si>
    <t>ARPU=</t>
  </si>
  <si>
    <t>FCC Safe Harbor =</t>
  </si>
  <si>
    <t>Sources:</t>
  </si>
  <si>
    <t>Methodology:  Committee on State Taxation, 50-State Study and Report on Telecommunications Taxation,</t>
  </si>
  <si>
    <t>2.6% times FCC safe harbor</t>
  </si>
  <si>
    <t>Sales Tax</t>
  </si>
  <si>
    <t>Wireless</t>
  </si>
  <si>
    <t>State-Local</t>
  </si>
  <si>
    <t>Rate</t>
  </si>
  <si>
    <t>Texas</t>
  </si>
  <si>
    <t>Vermont</t>
  </si>
  <si>
    <t xml:space="preserve">Wireless </t>
  </si>
  <si>
    <t xml:space="preserve">Federal </t>
  </si>
  <si>
    <t>Weighted Avg.</t>
  </si>
  <si>
    <t>Simple Avg.</t>
  </si>
  <si>
    <t xml:space="preserve">Combined </t>
  </si>
  <si>
    <t>Federal/State/Local</t>
  </si>
  <si>
    <t>Telephone service assistance program</t>
  </si>
  <si>
    <t>0.33% times FCC safe harbor</t>
  </si>
  <si>
    <t>NYC 4.5%; Albany 4%</t>
  </si>
  <si>
    <t>NYC 0.375%; Albany 0%</t>
  </si>
  <si>
    <t xml:space="preserve">$.75 per month </t>
  </si>
  <si>
    <t>Intrastate toll assessment</t>
  </si>
  <si>
    <t xml:space="preserve"> TABLE 1: US Average Wireless and General Sales &amp; Use Tax Rates</t>
  </si>
  <si>
    <t>Weighted Average</t>
  </si>
  <si>
    <t>Wireless - federal tax &amp; fee</t>
  </si>
  <si>
    <t>Wireless federal/state/local tax &amp; fee</t>
  </si>
  <si>
    <t xml:space="preserve">Source:  Methodology derived from Committee on State Taxation, "50-State Study and Report on </t>
  </si>
  <si>
    <t>Federal USF 4/1/2004 -- 28.5% x 8.7% = 2.48%</t>
  </si>
  <si>
    <t>Federal USF 7/1/2005 -- 28.5% x 10.2% = 2.91%</t>
  </si>
  <si>
    <t>Federal USF 7/1/2006 -- 28.5% x 10.5% = 2.99%</t>
  </si>
  <si>
    <t xml:space="preserve">Federal USF 7/1/2007 -- 37.1% x 11.3% = 4.19%   </t>
  </si>
  <si>
    <t>Federal USF 7/1/2008 -- 37.1% x 11.4% = 4.23%</t>
  </si>
  <si>
    <t>Federal USF 7/1/2009 -- 37.1% x 12.9% = 4.79%</t>
  </si>
  <si>
    <t>Federal USF 7/1/2010 -- 37.1% x 13.6% = 5.05%</t>
  </si>
  <si>
    <t>Federal USF 7/1/2012 -- 37.1% x 15.7% = 5.82%</t>
  </si>
  <si>
    <t>Federal USF 7/1/2014 -- 37.1% x 15.7% = 5.82%</t>
  </si>
  <si>
    <t>Seattle, WA</t>
  </si>
  <si>
    <t>Omaha, NE</t>
  </si>
  <si>
    <t>New York, NY</t>
  </si>
  <si>
    <t>Philadelphia, PA</t>
  </si>
  <si>
    <t>Baltimore, MD</t>
  </si>
  <si>
    <t>Providence, RI</t>
  </si>
  <si>
    <t>per month</t>
  </si>
  <si>
    <t>Tax Rate</t>
  </si>
  <si>
    <t>Tax</t>
  </si>
  <si>
    <t>Sales</t>
  </si>
  <si>
    <t>Table 3.</t>
  </si>
  <si>
    <t>Table 4.</t>
  </si>
  <si>
    <t>State Wireless Taxes by Type</t>
  </si>
  <si>
    <t>State Gross Receipts Tax</t>
  </si>
  <si>
    <t>in Addition to Sales Tax</t>
  </si>
  <si>
    <t>Higher State Tax Rate</t>
  </si>
  <si>
    <t>in Lieu of Sales Tax</t>
  </si>
  <si>
    <t>Wireless Tax but</t>
  </si>
  <si>
    <t>No State Sales Tax</t>
  </si>
  <si>
    <t xml:space="preserve">Rhode Island </t>
  </si>
  <si>
    <t>Local Wireless Taxes by Type</t>
  </si>
  <si>
    <t>Table 5.</t>
  </si>
  <si>
    <t>State-Authorized Telecom Taxes</t>
  </si>
  <si>
    <t xml:space="preserve">School District and Other </t>
  </si>
  <si>
    <t>Special District Taxes</t>
  </si>
  <si>
    <t>City</t>
  </si>
  <si>
    <t>Table 6.</t>
  </si>
  <si>
    <t>General Sales/Use Tax</t>
  </si>
  <si>
    <t>Table 2.</t>
  </si>
  <si>
    <t>$.40/month statewide</t>
  </si>
  <si>
    <t>NYC &amp; surrounding counties - .72%; Albany 0%</t>
  </si>
  <si>
    <t xml:space="preserve"> Albany 3%; NYC no tax</t>
  </si>
  <si>
    <t>Puerto Rico</t>
  </si>
  <si>
    <t>1.39% times FCC safe harbor</t>
  </si>
  <si>
    <t>IVU (Sales Tax)</t>
  </si>
  <si>
    <t xml:space="preserve">Puerto Rico </t>
  </si>
  <si>
    <t>Federal USF 7/1/2015 -- 37.1% x 17.4% = 6.46%</t>
  </si>
  <si>
    <t xml:space="preserve">$.90 per month </t>
  </si>
  <si>
    <t>$.62 / month</t>
  </si>
  <si>
    <t>$1.25 per month</t>
  </si>
  <si>
    <t>$.15 per month by statute</t>
  </si>
  <si>
    <t>Federal USF 1/1/2003 -- 28.5% FCC "hold harmless" times 7.3% FCC contribution factor = 2.07%</t>
  </si>
  <si>
    <t>Wireless -state &amp; local tax &amp; fee</t>
  </si>
  <si>
    <t>Source:  Methodology from COST, "50-State Study and Report on Telecommunications Taxation,"</t>
  </si>
  <si>
    <t>Over / Under</t>
  </si>
  <si>
    <t>Phoenix (Maricopa) = 0.7%; Tucson (Pima) = 0.5%</t>
  </si>
  <si>
    <t>$.51 per month</t>
  </si>
  <si>
    <t xml:space="preserve">$.25 per month </t>
  </si>
  <si>
    <t>$.70 per month</t>
  </si>
  <si>
    <t>Olympia (9%) &amp; Seattle (6%) average</t>
  </si>
  <si>
    <t>Public service company tax</t>
  </si>
  <si>
    <t xml:space="preserve">Disparity </t>
  </si>
  <si>
    <t>NA</t>
  </si>
  <si>
    <t>Multiple</t>
  </si>
  <si>
    <t>$0.76 per month</t>
  </si>
  <si>
    <t>Wireless 911 fee</t>
  </si>
  <si>
    <t>MCTD excise/surcharge (186c)</t>
  </si>
  <si>
    <t>$1.65 per month</t>
  </si>
  <si>
    <t>No sales tax on wireless</t>
  </si>
  <si>
    <t>Note:  Excludes local general sales taxes.</t>
  </si>
  <si>
    <t>Set annually by PUC -- currently zero</t>
  </si>
  <si>
    <t>Dual party relay charge</t>
  </si>
  <si>
    <t>.15% of intrastate receipts</t>
  </si>
  <si>
    <t>State 911 service charges</t>
  </si>
  <si>
    <t>State Radio Network charge</t>
  </si>
  <si>
    <r>
      <t>.</t>
    </r>
    <r>
      <rPr>
        <sz val="10"/>
        <color theme="1"/>
        <rFont val="MS sans serif"/>
        <family val="2"/>
      </rPr>
      <t>Alabama</t>
    </r>
  </si>
  <si>
    <r>
      <t>.</t>
    </r>
    <r>
      <rPr>
        <sz val="10"/>
        <color theme="1"/>
        <rFont val="MS sans serif"/>
        <family val="2"/>
      </rPr>
      <t>Alaska</t>
    </r>
  </si>
  <si>
    <r>
      <t>.</t>
    </r>
    <r>
      <rPr>
        <sz val="10"/>
        <color theme="1"/>
        <rFont val="MS sans serif"/>
        <family val="2"/>
      </rPr>
      <t>Arizona</t>
    </r>
  </si>
  <si>
    <r>
      <t>.</t>
    </r>
    <r>
      <rPr>
        <sz val="10"/>
        <color theme="1"/>
        <rFont val="MS sans serif"/>
        <family val="2"/>
      </rPr>
      <t>Arkansas</t>
    </r>
  </si>
  <si>
    <r>
      <t>.</t>
    </r>
    <r>
      <rPr>
        <sz val="10"/>
        <color theme="1"/>
        <rFont val="MS sans serif"/>
        <family val="2"/>
      </rPr>
      <t>California</t>
    </r>
  </si>
  <si>
    <r>
      <t>.</t>
    </r>
    <r>
      <rPr>
        <sz val="10"/>
        <color theme="1"/>
        <rFont val="MS sans serif"/>
        <family val="2"/>
      </rPr>
      <t>Colorado</t>
    </r>
  </si>
  <si>
    <r>
      <t>.</t>
    </r>
    <r>
      <rPr>
        <sz val="10"/>
        <color theme="1"/>
        <rFont val="MS sans serif"/>
        <family val="2"/>
      </rPr>
      <t>Connecticut</t>
    </r>
  </si>
  <si>
    <r>
      <t>.</t>
    </r>
    <r>
      <rPr>
        <sz val="10"/>
        <color theme="1"/>
        <rFont val="MS sans serif"/>
        <family val="2"/>
      </rPr>
      <t>Delaware</t>
    </r>
  </si>
  <si>
    <r>
      <t>.</t>
    </r>
    <r>
      <rPr>
        <sz val="10"/>
        <color theme="1"/>
        <rFont val="MS sans serif"/>
        <family val="2"/>
      </rPr>
      <t>District of Columbia</t>
    </r>
  </si>
  <si>
    <r>
      <t>.</t>
    </r>
    <r>
      <rPr>
        <sz val="10"/>
        <color theme="1"/>
        <rFont val="MS sans serif"/>
        <family val="2"/>
      </rPr>
      <t>Florida</t>
    </r>
  </si>
  <si>
    <r>
      <t>.</t>
    </r>
    <r>
      <rPr>
        <sz val="10"/>
        <color theme="1"/>
        <rFont val="MS sans serif"/>
        <family val="2"/>
      </rPr>
      <t>Georgia</t>
    </r>
  </si>
  <si>
    <r>
      <t>.</t>
    </r>
    <r>
      <rPr>
        <sz val="10"/>
        <color theme="1"/>
        <rFont val="MS sans serif"/>
        <family val="2"/>
      </rPr>
      <t>Hawaii</t>
    </r>
  </si>
  <si>
    <r>
      <t>.</t>
    </r>
    <r>
      <rPr>
        <sz val="10"/>
        <color theme="1"/>
        <rFont val="MS sans serif"/>
        <family val="2"/>
      </rPr>
      <t>Idaho</t>
    </r>
  </si>
  <si>
    <r>
      <t>.</t>
    </r>
    <r>
      <rPr>
        <sz val="10"/>
        <color theme="1"/>
        <rFont val="MS sans serif"/>
        <family val="2"/>
      </rPr>
      <t>Illinois</t>
    </r>
  </si>
  <si>
    <r>
      <t>.</t>
    </r>
    <r>
      <rPr>
        <sz val="10"/>
        <color theme="1"/>
        <rFont val="MS sans serif"/>
        <family val="2"/>
      </rPr>
      <t>Indiana</t>
    </r>
  </si>
  <si>
    <r>
      <t>.</t>
    </r>
    <r>
      <rPr>
        <sz val="10"/>
        <color theme="1"/>
        <rFont val="MS sans serif"/>
        <family val="2"/>
      </rPr>
      <t>Iowa</t>
    </r>
  </si>
  <si>
    <r>
      <t>.</t>
    </r>
    <r>
      <rPr>
        <sz val="10"/>
        <color theme="1"/>
        <rFont val="MS sans serif"/>
        <family val="2"/>
      </rPr>
      <t>Kansas</t>
    </r>
  </si>
  <si>
    <r>
      <t>.</t>
    </r>
    <r>
      <rPr>
        <sz val="10"/>
        <color theme="1"/>
        <rFont val="MS sans serif"/>
        <family val="2"/>
      </rPr>
      <t>Kentucky</t>
    </r>
  </si>
  <si>
    <r>
      <t>.</t>
    </r>
    <r>
      <rPr>
        <sz val="10"/>
        <color theme="1"/>
        <rFont val="MS sans serif"/>
        <family val="2"/>
      </rPr>
      <t>Louisiana</t>
    </r>
  </si>
  <si>
    <r>
      <t>.</t>
    </r>
    <r>
      <rPr>
        <sz val="10"/>
        <color theme="1"/>
        <rFont val="MS sans serif"/>
        <family val="2"/>
      </rPr>
      <t>Maine</t>
    </r>
  </si>
  <si>
    <r>
      <t>.</t>
    </r>
    <r>
      <rPr>
        <sz val="10"/>
        <color theme="1"/>
        <rFont val="MS sans serif"/>
        <family val="2"/>
      </rPr>
      <t>Maryland</t>
    </r>
  </si>
  <si>
    <r>
      <t>.</t>
    </r>
    <r>
      <rPr>
        <sz val="10"/>
        <color theme="1"/>
        <rFont val="MS sans serif"/>
        <family val="2"/>
      </rPr>
      <t>Massachusetts</t>
    </r>
  </si>
  <si>
    <r>
      <t>.</t>
    </r>
    <r>
      <rPr>
        <sz val="10"/>
        <color theme="1"/>
        <rFont val="MS sans serif"/>
        <family val="2"/>
      </rPr>
      <t>Michigan</t>
    </r>
  </si>
  <si>
    <r>
      <t>.</t>
    </r>
    <r>
      <rPr>
        <sz val="10"/>
        <color theme="1"/>
        <rFont val="MS sans serif"/>
        <family val="2"/>
      </rPr>
      <t>Minnesota</t>
    </r>
  </si>
  <si>
    <r>
      <t>.</t>
    </r>
    <r>
      <rPr>
        <sz val="10"/>
        <color theme="1"/>
        <rFont val="MS sans serif"/>
        <family val="2"/>
      </rPr>
      <t>Mississippi</t>
    </r>
  </si>
  <si>
    <r>
      <t>.</t>
    </r>
    <r>
      <rPr>
        <sz val="10"/>
        <color theme="1"/>
        <rFont val="MS sans serif"/>
        <family val="2"/>
      </rPr>
      <t>Missouri</t>
    </r>
  </si>
  <si>
    <r>
      <t>.</t>
    </r>
    <r>
      <rPr>
        <sz val="10"/>
        <color theme="1"/>
        <rFont val="MS sans serif"/>
        <family val="2"/>
      </rPr>
      <t>Montana</t>
    </r>
  </si>
  <si>
    <r>
      <t>.</t>
    </r>
    <r>
      <rPr>
        <sz val="10"/>
        <color theme="1"/>
        <rFont val="MS sans serif"/>
        <family val="2"/>
      </rPr>
      <t>Nebraska</t>
    </r>
  </si>
  <si>
    <r>
      <t>.</t>
    </r>
    <r>
      <rPr>
        <sz val="10"/>
        <color theme="1"/>
        <rFont val="MS sans serif"/>
        <family val="2"/>
      </rPr>
      <t>Nevada</t>
    </r>
  </si>
  <si>
    <r>
      <t>.</t>
    </r>
    <r>
      <rPr>
        <sz val="10"/>
        <color theme="1"/>
        <rFont val="MS sans serif"/>
        <family val="2"/>
      </rPr>
      <t>New Hampshire</t>
    </r>
  </si>
  <si>
    <r>
      <t>.</t>
    </r>
    <r>
      <rPr>
        <sz val="10"/>
        <color theme="1"/>
        <rFont val="MS sans serif"/>
        <family val="2"/>
      </rPr>
      <t>New Jersey</t>
    </r>
  </si>
  <si>
    <r>
      <t>.</t>
    </r>
    <r>
      <rPr>
        <sz val="10"/>
        <color theme="1"/>
        <rFont val="MS sans serif"/>
        <family val="2"/>
      </rPr>
      <t>New Mexico</t>
    </r>
  </si>
  <si>
    <r>
      <t>.</t>
    </r>
    <r>
      <rPr>
        <sz val="10"/>
        <color theme="1"/>
        <rFont val="MS sans serif"/>
        <family val="2"/>
      </rPr>
      <t>New York</t>
    </r>
  </si>
  <si>
    <r>
      <t>.</t>
    </r>
    <r>
      <rPr>
        <sz val="10"/>
        <color theme="1"/>
        <rFont val="MS sans serif"/>
        <family val="2"/>
      </rPr>
      <t>North Carolina</t>
    </r>
  </si>
  <si>
    <r>
      <t>.</t>
    </r>
    <r>
      <rPr>
        <sz val="10"/>
        <color theme="1"/>
        <rFont val="MS sans serif"/>
        <family val="2"/>
      </rPr>
      <t>North Dakota</t>
    </r>
  </si>
  <si>
    <r>
      <t>.</t>
    </r>
    <r>
      <rPr>
        <sz val="10"/>
        <color theme="1"/>
        <rFont val="MS sans serif"/>
        <family val="2"/>
      </rPr>
      <t>Ohio</t>
    </r>
  </si>
  <si>
    <r>
      <t>.</t>
    </r>
    <r>
      <rPr>
        <sz val="10"/>
        <color theme="1"/>
        <rFont val="MS sans serif"/>
        <family val="2"/>
      </rPr>
      <t>Oklahoma</t>
    </r>
  </si>
  <si>
    <r>
      <t>.</t>
    </r>
    <r>
      <rPr>
        <sz val="10"/>
        <color theme="1"/>
        <rFont val="MS sans serif"/>
        <family val="2"/>
      </rPr>
      <t>Oregon</t>
    </r>
  </si>
  <si>
    <r>
      <t>.</t>
    </r>
    <r>
      <rPr>
        <sz val="10"/>
        <color theme="1"/>
        <rFont val="MS sans serif"/>
        <family val="2"/>
      </rPr>
      <t>Pennsylvania</t>
    </r>
  </si>
  <si>
    <r>
      <t>.</t>
    </r>
    <r>
      <rPr>
        <sz val="10"/>
        <color theme="1"/>
        <rFont val="MS sans serif"/>
        <family val="2"/>
      </rPr>
      <t>Rhode Island</t>
    </r>
  </si>
  <si>
    <r>
      <t>.</t>
    </r>
    <r>
      <rPr>
        <sz val="10"/>
        <color theme="1"/>
        <rFont val="MS sans serif"/>
        <family val="2"/>
      </rPr>
      <t>South Carolina</t>
    </r>
  </si>
  <si>
    <r>
      <t>.</t>
    </r>
    <r>
      <rPr>
        <sz val="10"/>
        <color theme="1"/>
        <rFont val="MS sans serif"/>
        <family val="2"/>
      </rPr>
      <t>South Dakota</t>
    </r>
  </si>
  <si>
    <r>
      <t>.</t>
    </r>
    <r>
      <rPr>
        <sz val="10"/>
        <color theme="1"/>
        <rFont val="MS sans serif"/>
        <family val="2"/>
      </rPr>
      <t>Tennessee</t>
    </r>
  </si>
  <si>
    <r>
      <t>.</t>
    </r>
    <r>
      <rPr>
        <sz val="10"/>
        <color theme="1"/>
        <rFont val="MS sans serif"/>
        <family val="2"/>
      </rPr>
      <t>Texas</t>
    </r>
  </si>
  <si>
    <r>
      <t>.</t>
    </r>
    <r>
      <rPr>
        <sz val="10"/>
        <color theme="1"/>
        <rFont val="MS sans serif"/>
        <family val="2"/>
      </rPr>
      <t>Utah</t>
    </r>
  </si>
  <si>
    <r>
      <t>.</t>
    </r>
    <r>
      <rPr>
        <sz val="10"/>
        <color theme="1"/>
        <rFont val="MS sans serif"/>
        <family val="2"/>
      </rPr>
      <t>Vermont</t>
    </r>
  </si>
  <si>
    <r>
      <t>.</t>
    </r>
    <r>
      <rPr>
        <sz val="10"/>
        <color theme="1"/>
        <rFont val="MS sans serif"/>
        <family val="2"/>
      </rPr>
      <t>Virginia</t>
    </r>
  </si>
  <si>
    <r>
      <t>.</t>
    </r>
    <r>
      <rPr>
        <sz val="10"/>
        <color theme="1"/>
        <rFont val="MS sans serif"/>
        <family val="2"/>
      </rPr>
      <t>Washington</t>
    </r>
  </si>
  <si>
    <r>
      <t>.</t>
    </r>
    <r>
      <rPr>
        <sz val="10"/>
        <color theme="1"/>
        <rFont val="MS sans serif"/>
        <family val="2"/>
      </rPr>
      <t>West Virginia</t>
    </r>
  </si>
  <si>
    <r>
      <t>.</t>
    </r>
    <r>
      <rPr>
        <sz val="10"/>
        <color theme="1"/>
        <rFont val="MS sans serif"/>
        <family val="2"/>
      </rPr>
      <t>Wisconsin</t>
    </r>
  </si>
  <si>
    <r>
      <t>.</t>
    </r>
    <r>
      <rPr>
        <sz val="10"/>
        <color theme="1"/>
        <rFont val="MS sans serif"/>
        <family val="2"/>
      </rPr>
      <t>Wyoming</t>
    </r>
  </si>
  <si>
    <t xml:space="preserve">Effective </t>
  </si>
  <si>
    <t>Federal includes 3% federal excise tax (until 5/2006) and federal universal service fund charge, which is set by the FCC and varies quarterly:</t>
  </si>
  <si>
    <t xml:space="preserve">Illinois </t>
  </si>
  <si>
    <t>Anchorage - $2.00; Juneau - $1.90</t>
  </si>
  <si>
    <t xml:space="preserve">Chicago $5/mo.; others $1.50/mo </t>
  </si>
  <si>
    <t>TAP: $0.02 and TRS:  $0.01</t>
  </si>
  <si>
    <t>$.75 per month in OK City and Tulsa</t>
  </si>
  <si>
    <r>
      <rPr>
        <sz val="10"/>
        <color theme="1"/>
        <rFont val="Arial"/>
        <family val="2"/>
      </rPr>
      <t>Austin (2.0%</t>
    </r>
    <r>
      <rPr>
        <sz val="10"/>
        <rFont val="Arial"/>
        <family val="2"/>
      </rPr>
      <t>) &amp; Houston (2.0%)</t>
    </r>
  </si>
  <si>
    <t>$.25 per month per phone number</t>
  </si>
  <si>
    <t>Statewide Interoperable Radio Network Tax</t>
  </si>
  <si>
    <t>Avg. Santa Fe (3.3125%) &amp; Albuquerque (2.75%)</t>
  </si>
  <si>
    <t>$.03 per line per month</t>
  </si>
  <si>
    <t>Funds 911 and other programs</t>
  </si>
  <si>
    <t>State 911/USF</t>
  </si>
  <si>
    <r>
      <t xml:space="preserve">Access and </t>
    </r>
    <r>
      <rPr>
        <sz val="11"/>
        <color theme="1"/>
        <rFont val="Calibri (Body)"/>
      </rPr>
      <t>intrastate</t>
    </r>
  </si>
  <si>
    <t>TDD Tax</t>
  </si>
  <si>
    <t xml:space="preserve">Chicago, IL </t>
  </si>
  <si>
    <t>Avg. of Juneau (5%) &amp; Anchorage (0%)</t>
  </si>
  <si>
    <t>Minneapolis (1.15%) and St. Paul (1.0%)</t>
  </si>
  <si>
    <t>Washoe County = $.85 / month; Clark County no tax</t>
  </si>
  <si>
    <t xml:space="preserve">4% of "access charge" -- assume $35 </t>
  </si>
  <si>
    <t>Intrastate &amp; interstate</t>
  </si>
  <si>
    <t>Columbus (1.75%) and Cleveland (2.25%)</t>
  </si>
  <si>
    <t>Avg. of OK City (4.125%) &amp; Tulsa (4.017%)</t>
  </si>
  <si>
    <t>Avg. of Charleston (3%) and Columbia (2%)</t>
  </si>
  <si>
    <t>$.75 per month in Cheyenne and Casper</t>
  </si>
  <si>
    <t>Avg. of Cheyenne (2%) and Casper (1%)</t>
  </si>
  <si>
    <t>Avg. of Montpelier (0%) and Burlington (1%)</t>
  </si>
  <si>
    <t>Avg. of Pierre (2.0%) and Sioux Falls (2.0%)</t>
  </si>
  <si>
    <t>Access, interstate and  intrastate</t>
  </si>
  <si>
    <t>Philadephia 2%; Harrisburg 0%</t>
  </si>
  <si>
    <t>$0.50 per line per month</t>
  </si>
  <si>
    <t>Avg. of Omaha (6.25%) &amp; Lincoln (6.0%)</t>
  </si>
  <si>
    <t>State Rankings</t>
  </si>
  <si>
    <t xml:space="preserve">Tax on Single Line </t>
  </si>
  <si>
    <t xml:space="preserve">Alaska </t>
  </si>
  <si>
    <t>Effective Rate</t>
  </si>
  <si>
    <t xml:space="preserve">Calculation </t>
  </si>
  <si>
    <t>State</t>
  </si>
  <si>
    <t>Carrier rates assigned by Public Service Commission</t>
  </si>
  <si>
    <t>State Universal Service Fund Rates on Wireless Service</t>
  </si>
  <si>
    <t xml:space="preserve">Utah </t>
  </si>
  <si>
    <t>$1.86 per month</t>
  </si>
  <si>
    <t>10.0% times FCC safe harbor</t>
  </si>
  <si>
    <t>Avg. Phoenix (4.7%) &amp; Tucson (7.1%)</t>
  </si>
  <si>
    <t>$1.50 per line statewide</t>
  </si>
  <si>
    <t>Avg. of Chicago (7%) &amp; Springfield (6%)</t>
  </si>
  <si>
    <t>Avg. of Cedar Rapids (1%) &amp; Des Moines (1%)</t>
  </si>
  <si>
    <t>$.90 per month per line</t>
  </si>
  <si>
    <t>$0.21 per line per month</t>
  </si>
  <si>
    <t>$1.50 per month</t>
  </si>
  <si>
    <t>Detroit $.42; Lansing $1.80</t>
  </si>
  <si>
    <t>$.05 per line per month</t>
  </si>
  <si>
    <t>$1.75 per line per month</t>
  </si>
  <si>
    <t xml:space="preserve"> $.03 per month</t>
  </si>
  <si>
    <t>Avg Fargo (2.5%) &amp; Bismarck (2.0%)</t>
  </si>
  <si>
    <t>$1.50 Bismarck; $1.50 Fargo</t>
  </si>
  <si>
    <t>Up to $.11/mo -- currently $.03</t>
  </si>
  <si>
    <t>Avg. of Salt Lake City (2.9%) and Provo (2.4%)</t>
  </si>
  <si>
    <t>Salt Lake City, UT</t>
  </si>
  <si>
    <t xml:space="preserve">Source:  Methodology from COST, "50-State Study and Report on Telecommunications </t>
  </si>
  <si>
    <t>$.02 per line per month</t>
  </si>
  <si>
    <t>Wireless 911 &amp; 911 training fee</t>
  </si>
  <si>
    <t>$1.05 per month per line</t>
  </si>
  <si>
    <t>Statewide combined rate includes local rates</t>
  </si>
  <si>
    <t>Table B1</t>
  </si>
  <si>
    <t>Voice Plan Costing</t>
  </si>
  <si>
    <t>Intrastate telecommunications service</t>
  </si>
  <si>
    <t xml:space="preserve">$1.30 / month statewide.  </t>
  </si>
  <si>
    <t>$.35 per month</t>
  </si>
  <si>
    <t>$0.44 per line</t>
  </si>
  <si>
    <t>$0.05 per account</t>
  </si>
  <si>
    <t>Lincoln (1.75%) and Omaha (1.5%)</t>
  </si>
  <si>
    <t>State and loccal sales tax</t>
  </si>
  <si>
    <t>911 and first responder fee</t>
  </si>
  <si>
    <t>Avg. of Milwaukee (0.5%) &amp; Madison (0.5%)</t>
  </si>
  <si>
    <t>and local ordinances by Scott Mackey, Leonine Public Affairs LLP, Montpelier, VT.</t>
  </si>
  <si>
    <t>$.52 per line per month</t>
  </si>
  <si>
    <t>$.96 per line per month</t>
  </si>
  <si>
    <t>Wireless vs. General Sales Tax</t>
  </si>
  <si>
    <t>Little Rock, AR</t>
  </si>
  <si>
    <t>Avg. of Denver (5.91%) &amp; Colorado Springs (2.23%)</t>
  </si>
  <si>
    <t>$0.01 per line</t>
  </si>
  <si>
    <t>$.10 per line per month</t>
  </si>
  <si>
    <t>0.25% of intrastate receipts</t>
  </si>
  <si>
    <t>Baltimore $1.00; Anne Arundel $.75</t>
  </si>
  <si>
    <t>0.174% of intrastate revenues</t>
  </si>
  <si>
    <t>Wireless 988</t>
  </si>
  <si>
    <t xml:space="preserve">$.12 per month </t>
  </si>
  <si>
    <t>$.82 per month</t>
  </si>
  <si>
    <t>$0.29 per month</t>
  </si>
  <si>
    <t>$0.08 per month</t>
  </si>
  <si>
    <t>Up to $.25/month -- $.04 currently</t>
  </si>
  <si>
    <t xml:space="preserve">$1.50 per month </t>
  </si>
  <si>
    <t>6% times FCC safe harbor</t>
  </si>
  <si>
    <t xml:space="preserve">Ada County (Boise) =  $1.00 per month </t>
  </si>
  <si>
    <t xml:space="preserve"> Puerto Rico</t>
  </si>
  <si>
    <t xml:space="preserve">State and Local Wireless Taxes and Fees on </t>
  </si>
  <si>
    <t>Monthly</t>
  </si>
  <si>
    <t xml:space="preserve">Estimated </t>
  </si>
  <si>
    <t>Current Report</t>
  </si>
  <si>
    <t>Estimated</t>
  </si>
  <si>
    <t>Methodology</t>
  </si>
  <si>
    <t>Tax Paid as</t>
  </si>
  <si>
    <t>Adjusted</t>
  </si>
  <si>
    <t>Tax Paid as %</t>
  </si>
  <si>
    <t>%  of Voice/</t>
  </si>
  <si>
    <t xml:space="preserve">of Taxable </t>
  </si>
  <si>
    <t>Statutory</t>
  </si>
  <si>
    <t>Rank</t>
  </si>
  <si>
    <t>Tax Paid</t>
  </si>
  <si>
    <t>Bundle</t>
  </si>
  <si>
    <t>Average Monthly Revenue Estimates Used in Calculations</t>
  </si>
  <si>
    <t>$</t>
  </si>
  <si>
    <t>Percent</t>
  </si>
  <si>
    <t>Monthly Service Revenue (taxable &amp; non-taxable)</t>
  </si>
  <si>
    <t>Monthly Wireless Telecom Revenue (taxable)*</t>
  </si>
  <si>
    <t>Monthly Internet Access Revenue (not taxable)*</t>
  </si>
  <si>
    <t>APPENDIX C</t>
  </si>
  <si>
    <t>Wireless public safety fee</t>
  </si>
  <si>
    <t>Wireless tower fee</t>
  </si>
  <si>
    <t>State 988 fee</t>
  </si>
  <si>
    <t xml:space="preserve">988 fee -- state </t>
  </si>
  <si>
    <t>Telecommunications Taxation,"  May 2005.  Updated July 2022 from state statutes, FCC data,</t>
  </si>
  <si>
    <r>
      <t>Avg. Little R</t>
    </r>
    <r>
      <rPr>
        <sz val="10"/>
        <color theme="1"/>
        <rFont val="Arial"/>
        <family val="2"/>
      </rPr>
      <t>ock (2.125%) &amp; Fa</t>
    </r>
    <r>
      <rPr>
        <sz val="10"/>
        <rFont val="Arial"/>
        <family val="2"/>
      </rPr>
      <t>yetteville (3.25%)</t>
    </r>
  </si>
  <si>
    <t>$.09 per line per month</t>
  </si>
  <si>
    <t>Denver ($1.20) / Colorado Springs ($1.35)</t>
  </si>
  <si>
    <t>Jacksonville 6.02%; Tallahassee 6.9%</t>
  </si>
  <si>
    <t>Repealed effective 7/1/2022</t>
  </si>
  <si>
    <t>2.3% times FCC safe harbor</t>
  </si>
  <si>
    <t>Assessment expired May 2022</t>
  </si>
  <si>
    <t>$.80 per month</t>
  </si>
  <si>
    <t>5% intrastate; 4.25% interstate</t>
  </si>
  <si>
    <t>$.50 per line per month for residential lines</t>
  </si>
  <si>
    <t>2.67% times FCC safe harbor</t>
  </si>
  <si>
    <t>$0.36 per line per month</t>
  </si>
  <si>
    <t>13.25% times FCC safe harbor</t>
  </si>
  <si>
    <t>$0.30 per line per month</t>
  </si>
  <si>
    <t>$0.08 per line effective 1/1/2023</t>
  </si>
  <si>
    <t>$1.11 per line effective 4/1/2023</t>
  </si>
  <si>
    <t>0.75% times FCC safe harbor effective 1/1/2023</t>
  </si>
  <si>
    <t>Reduced from $0.06 to $0.03 per month</t>
  </si>
  <si>
    <t>Increased from $0.18 to $0.27 per month on 1/1/2023</t>
  </si>
  <si>
    <t>Reduced from $.70 to $.68 per line effective 7/1/2023</t>
  </si>
  <si>
    <t>Residential rate</t>
  </si>
  <si>
    <t>Avg. rate Atlanta (4.9%) &amp; Augusta (4%)</t>
  </si>
  <si>
    <t>0.15% times FCC safe harbor</t>
  </si>
  <si>
    <t>11.37% x FCC safe harbor</t>
  </si>
  <si>
    <t>$0.06 per line per month</t>
  </si>
  <si>
    <t>New Orleans $1.25/mo.; Baton Rouge $1.25/mo.</t>
  </si>
  <si>
    <t>$.04 per line per month</t>
  </si>
  <si>
    <t>Avg. Jefferson City (3.625%) &amp; Kansas City (4.75%)</t>
  </si>
  <si>
    <t>$.08 per access line</t>
  </si>
  <si>
    <t>0.34% times FCC Safe Harbor</t>
  </si>
  <si>
    <t>$0.35 per month per line effective 6/2023</t>
  </si>
  <si>
    <t>$0.97 per line per month</t>
  </si>
  <si>
    <t>NYC - $.30 per month; Albany $1.25 per month</t>
  </si>
  <si>
    <t>$.55 per month</t>
  </si>
  <si>
    <t>$.16 per line</t>
  </si>
  <si>
    <t>$1.85 per line per month</t>
  </si>
  <si>
    <t>State and Local rate</t>
  </si>
  <si>
    <t>12.0% times FCC safe harbor</t>
  </si>
  <si>
    <t>Olympia (3.0%) &amp; Seattle (3.75%) average</t>
  </si>
  <si>
    <t>$.40 per month</t>
  </si>
  <si>
    <t>$3.64 per month</t>
  </si>
  <si>
    <t>0.486% times FCC safe harbor</t>
  </si>
  <si>
    <t>State 988</t>
  </si>
  <si>
    <t xml:space="preserve">PUC Universal Service Programs </t>
  </si>
  <si>
    <t>PUC Regulatory Fee</t>
  </si>
  <si>
    <t>Connect ME</t>
  </si>
  <si>
    <t>988 Tax</t>
  </si>
  <si>
    <t xml:space="preserve">Federal USF 7/1/2023 -- 37.1% Interstate safe harbor x 29.2% contribution factor = 10.83% effective tax rate </t>
  </si>
  <si>
    <t>Disparity Between Wireless Tax &amp; Fee Rate and General Sales Tax Rate, July 2023</t>
  </si>
  <si>
    <t>May 2005.  Updated July 2023 using state statutes, FCC data, and local ordinances.</t>
  </si>
  <si>
    <t>As of July 1, 2023</t>
  </si>
  <si>
    <t>Data</t>
  </si>
  <si>
    <t xml:space="preserve">Source:  Authors' calculation from state statutes and state utility commisions. </t>
  </si>
  <si>
    <t>Dallas, TX</t>
  </si>
  <si>
    <t>Single and Multi-Line Plans in Selected Cities, July 2023</t>
  </si>
  <si>
    <t>State and Local Transaction Taxes, Fees, and Government Charges on Wireless Service  -- July 1, 2023</t>
  </si>
  <si>
    <t>May 2005.  Updated July 2023 by Scott Mackey, Leonine Public Affairs LLP, using state statutes and regulations.</t>
  </si>
  <si>
    <t>Average Monthly Revenue Per Unit (ARPU):  $34.56 per Cellular Telephone and Internet Association, July 2023.</t>
  </si>
  <si>
    <t>https://www.fcc.gov/document/third-quarter-2023-usf-contribution-factor-292-percent</t>
  </si>
  <si>
    <t xml:space="preserve">Taxation," May 2005.  Updated July 2023 using state statutes, FCC data, and local ordinances.  </t>
  </si>
  <si>
    <t>U.S. Weighted Average</t>
  </si>
  <si>
    <t>Privilege, License, or User Taxes</t>
  </si>
  <si>
    <t>per Month</t>
  </si>
  <si>
    <t>Tax on Four-line</t>
  </si>
  <si>
    <t xml:space="preserve">Table 7:  Taxes/Fees on Single-Line Wireless Plan </t>
  </si>
  <si>
    <t>Services</t>
  </si>
  <si>
    <t>Taxes, Fees, and Government Surcharges on Wireless Service, July 2023</t>
  </si>
  <si>
    <t>Source: Wireless monthly services revenue come from CTIA, “2022 Annual Survey Highlights,” Sep. 13, 2022, https://www.ctia.org/news/2022-annual-survey-highlights; the internet access portion of wireless services revenue (excluding equipment sales and repair revenues) comes from U.S. Census Bureau, “Quarterly Selected Services Estimates, Second Quarter 2023,” Sep. 7, 2023, https://www.census.gov/services/qss/qss-current.pdf; data is from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</si>
</sst>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-&quot;$&quot;#,##0.00"/>
    <numFmt numFmtId="165" formatCode="0.0%"/>
    <numFmt numFmtId="166" formatCode="0.0000000000%"/>
    <numFmt numFmtId="167" formatCode="0.000%"/>
    <numFmt numFmtId="168" formatCode="0.000000000000000%"/>
    <numFmt numFmtId="169" formatCode="0.0000"/>
    <numFmt numFmtId="170" formatCode="0.00000%"/>
    <numFmt numFmtId="171" formatCode="0.00000000%"/>
    <numFmt numFmtId="172" formatCode="0.00000000000000%"/>
    <numFmt numFmtId="173" formatCode="0.0000%"/>
    <numFmt numFmtId="174" formatCode="_(* #,##0_);_(* \(#,##0\);_(* &quot;-&quot;??_);_(@_)"/>
    <numFmt numFmtId="175" formatCode="_(&quot;$&quot;* #,##0_);_(&quot;$&quot;* \(#,##0\);_(&quot;$&quot;* &quot;-&quot;??_);_(@_)"/>
    <numFmt numFmtId="176" formatCode="_(&quot;$&quot;* #,##0_);_(&quot;$&quot;* \(#,##0\);_(&quot;$&quot;* &quot;-&quot;?_);_(@_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9"/>
      <name val="MS sans serif"/>
      <family val="2"/>
    </font>
    <font>
      <sz val="10"/>
      <color theme="1"/>
      <name val="MS sans serif"/>
      <family val="2"/>
    </font>
    <font>
      <sz val="11"/>
      <color theme="1"/>
      <name val="Calibri (Body)"/>
    </font>
    <font>
      <sz val="11"/>
      <color rgb="FFFF0000"/>
      <name val="Calibri (Body)"/>
    </font>
    <font>
      <sz val="11"/>
      <color rgb="FFFF0000"/>
      <name val="Calibri"/>
      <family val="2"/>
      <scheme val="minor"/>
    </font>
    <font>
      <sz val="10"/>
      <color theme="1"/>
      <name val="ArialMT"/>
    </font>
    <font>
      <sz val="11"/>
      <color rgb="FF21212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10" fontId="0" fillId="0" borderId="0" xfId="1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1" applyNumberFormat="1" applyFont="1" applyFill="1" applyAlignment="1">
      <alignment horizontal="center"/>
    </xf>
    <xf numFmtId="0" fontId="6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Alignment="1">
      <alignment horizontal="center"/>
    </xf>
    <xf numFmtId="44" fontId="4" fillId="0" borderId="0" xfId="0" applyNumberFormat="1" applyFont="1"/>
    <xf numFmtId="165" fontId="4" fillId="0" borderId="0" xfId="1" applyNumberFormat="1" applyFont="1" applyFill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0" fontId="0" fillId="0" borderId="0" xfId="0" applyNumberFormat="1" applyAlignment="1">
      <alignment horizontal="center"/>
    </xf>
    <xf numFmtId="10" fontId="0" fillId="0" borderId="0" xfId="0" applyNumberFormat="1"/>
    <xf numFmtId="0" fontId="11" fillId="2" borderId="0" xfId="0" applyFont="1" applyFill="1" applyAlignment="1">
      <alignment horizontal="left" vertical="top" wrapText="1"/>
    </xf>
    <xf numFmtId="10" fontId="1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1" applyNumberFormat="1" applyFont="1" applyFill="1"/>
    <xf numFmtId="166" fontId="0" fillId="0" borderId="0" xfId="0" applyNumberFormat="1"/>
    <xf numFmtId="0" fontId="15" fillId="0" borderId="0" xfId="0" applyFont="1"/>
    <xf numFmtId="14" fontId="15" fillId="0" borderId="0" xfId="0" applyNumberFormat="1" applyFont="1"/>
    <xf numFmtId="0" fontId="2" fillId="0" borderId="0" xfId="0" applyFont="1"/>
    <xf numFmtId="10" fontId="15" fillId="0" borderId="0" xfId="0" applyNumberFormat="1" applyFont="1"/>
    <xf numFmtId="10" fontId="15" fillId="0" borderId="0" xfId="0" applyNumberFormat="1" applyFont="1" applyAlignment="1">
      <alignment horizontal="right"/>
    </xf>
    <xf numFmtId="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0" fontId="16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44" fontId="0" fillId="0" borderId="0" xfId="0" applyNumberFormat="1"/>
    <xf numFmtId="44" fontId="0" fillId="0" borderId="0" xfId="9" applyFont="1"/>
    <xf numFmtId="165" fontId="0" fillId="0" borderId="0" xfId="1" applyNumberFormat="1" applyFont="1" applyFill="1"/>
    <xf numFmtId="174" fontId="0" fillId="0" borderId="0" xfId="8" applyNumberFormat="1" applyFont="1" applyFill="1"/>
    <xf numFmtId="9" fontId="0" fillId="0" borderId="0" xfId="0" applyNumberFormat="1"/>
    <xf numFmtId="44" fontId="0" fillId="0" borderId="0" xfId="9" applyFont="1" applyFill="1"/>
    <xf numFmtId="175" fontId="0" fillId="0" borderId="0" xfId="9" applyNumberFormat="1" applyFont="1" applyFill="1"/>
    <xf numFmtId="175" fontId="0" fillId="0" borderId="0" xfId="0" applyNumberFormat="1"/>
    <xf numFmtId="174" fontId="0" fillId="0" borderId="0" xfId="0" applyNumberFormat="1"/>
    <xf numFmtId="176" fontId="0" fillId="0" borderId="0" xfId="0" applyNumberFormat="1"/>
    <xf numFmtId="2" fontId="0" fillId="0" borderId="0" xfId="0" applyNumberFormat="1"/>
    <xf numFmtId="10" fontId="12" fillId="0" borderId="0" xfId="1" applyNumberFormat="1" applyFont="1" applyFill="1" applyAlignment="1">
      <alignment horizontal="center"/>
    </xf>
    <xf numFmtId="173" fontId="0" fillId="0" borderId="0" xfId="0" applyNumberFormat="1"/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165" fontId="0" fillId="0" borderId="0" xfId="0" applyNumberFormat="1" applyAlignment="1">
      <alignment horizontal="center"/>
    </xf>
    <xf numFmtId="2" fontId="12" fillId="0" borderId="0" xfId="0" applyNumberFormat="1" applyFont="1" applyAlignment="1">
      <alignment horizontal="center"/>
    </xf>
    <xf numFmtId="6" fontId="0" fillId="0" borderId="0" xfId="0" applyNumberFormat="1"/>
    <xf numFmtId="8" fontId="0" fillId="0" borderId="0" xfId="0" applyNumberFormat="1"/>
    <xf numFmtId="0" fontId="18" fillId="0" borderId="1" xfId="0" applyFont="1" applyBorder="1" applyProtection="1">
      <protection locked="0"/>
    </xf>
    <xf numFmtId="0" fontId="19" fillId="0" borderId="1" xfId="0" applyFont="1" applyBorder="1" applyProtection="1">
      <protection locked="0"/>
    </xf>
    <xf numFmtId="10" fontId="0" fillId="0" borderId="0" xfId="1" applyNumberFormat="1" applyFont="1" applyAlignment="1">
      <alignment horizontal="center"/>
    </xf>
    <xf numFmtId="44" fontId="0" fillId="0" borderId="0" xfId="9" applyFont="1" applyAlignment="1">
      <alignment horizontal="center"/>
    </xf>
    <xf numFmtId="10" fontId="5" fillId="0" borderId="0" xfId="1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10" fillId="2" borderId="0" xfId="0" applyFont="1" applyFill="1" applyAlignment="1">
      <alignment horizontal="left" vertical="top" wrapText="1"/>
    </xf>
    <xf numFmtId="165" fontId="0" fillId="0" borderId="0" xfId="1" applyNumberFormat="1" applyFont="1"/>
    <xf numFmtId="0" fontId="24" fillId="0" borderId="0" xfId="0" applyFont="1"/>
    <xf numFmtId="0" fontId="25" fillId="0" borderId="0" xfId="0" applyFont="1" applyAlignment="1">
      <alignment horizontal="center"/>
    </xf>
    <xf numFmtId="0" fontId="25" fillId="0" borderId="0" xfId="0" applyFont="1"/>
    <xf numFmtId="10" fontId="5" fillId="0" borderId="0" xfId="0" applyNumberFormat="1" applyFont="1" applyAlignment="1">
      <alignment horizontal="center"/>
    </xf>
    <xf numFmtId="14" fontId="0" fillId="0" borderId="0" xfId="0" applyNumberFormat="1"/>
    <xf numFmtId="10" fontId="17" fillId="0" borderId="0" xfId="1" applyNumberFormat="1" applyFont="1" applyFill="1" applyAlignment="1">
      <alignment horizontal="center"/>
    </xf>
    <xf numFmtId="0" fontId="26" fillId="0" borderId="0" xfId="0" applyFont="1"/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7" fillId="0" borderId="0" xfId="0" applyFont="1"/>
    <xf numFmtId="8" fontId="0" fillId="0" borderId="0" xfId="0" applyNumberFormat="1" applyAlignment="1">
      <alignment horizontal="left"/>
    </xf>
    <xf numFmtId="0" fontId="17" fillId="0" borderId="0" xfId="0" applyFont="1"/>
    <xf numFmtId="164" fontId="0" fillId="0" borderId="0" xfId="0" applyNumberFormat="1"/>
    <xf numFmtId="10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10" fontId="0" fillId="0" borderId="0" xfId="9" applyNumberFormat="1" applyFont="1"/>
    <xf numFmtId="10" fontId="0" fillId="0" borderId="0" xfId="9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17" fontId="1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11">
    <cellStyle name="Comma" xfId="8" builtinId="3"/>
    <cellStyle name="Currency" xfId="9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10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KS&amp;E-CLIENTS\telco%20project\tax%20rate%20study\2020%20study\2020%20Tax%20Report%20tables%20for%20tax%20foundation%20study%20working%20draf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ott/AppData/Local/Microsoft/Windows/Temporary%20Internet%20Files/Content.Outlook/A398KG7Q/wireless%20tax%20rates%20July%201%202006%20update%20worki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ott/AppData/Local/Microsoft/Windows/Temporary%20Internet%20Files/Content.Outlook/A398KG7Q/July%202012%20taxes%20and%20fees%20report%20tables%201%20to%204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KS&amp;E-CLIENTS\telco%20project\tax%20rate%20study\2023%20report\2023%20Report%20Tables%20and%20Data%20for%20Tax%20Foundation%20working%207%206%202023.xlsx" TargetMode="External"/><Relationship Id="rId1" Type="http://schemas.openxmlformats.org/officeDocument/2006/relationships/externalLinkPath" Target="file:///I:\KS&amp;E-CLIENTS\telco%20project\tax%20rate%20study\2023%20report\2023%20Report%20Tables%20and%20Data%20for%20Tax%20Foundation%20working%207%206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ENDIX C Clean"/>
      <sheetName val="TABLE 1"/>
      <sheetName val="TABLE 2"/>
      <sheetName val="Table 3"/>
      <sheetName val="TABLE 4"/>
      <sheetName val="TABLE 5"/>
      <sheetName val="TABLE 6"/>
      <sheetName val="Table B1"/>
      <sheetName val="FIG B1 data ARPU vs tax"/>
      <sheetName val=" APPENDIX C with notes"/>
      <sheetName val="WGHT calcs --not for publicatio"/>
      <sheetName val="Tax Calc not for pub"/>
      <sheetName val="FUSF data not for p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0">
          <cell r="C60">
            <v>7.7460801386271427E-2</v>
          </cell>
          <cell r="E60">
            <v>0.12818055477702545</v>
          </cell>
        </row>
      </sheetData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BL2 wrls v GB"/>
      <sheetName val="TBL3 06 vs 04"/>
      <sheetName val="Comparison worksheet"/>
      <sheetName val="Multiyear source data"/>
      <sheetName val="Aggregated wireless vs GB"/>
      <sheetName val="TBL 1 ranked"/>
      <sheetName val="Alpha by state"/>
      <sheetName val="Weighting calculations"/>
      <sheetName val="50 state detail"/>
      <sheetName val="Population data"/>
    </sheetNames>
    <sheetDataSet>
      <sheetData sheetId="0" refreshError="1"/>
      <sheetData sheetId="1" refreshError="1"/>
      <sheetData sheetId="2" refreshError="1"/>
      <sheetData sheetId="3" refreshError="1">
        <row r="6">
          <cell r="B6">
            <v>7.4005602240896362E-2</v>
          </cell>
        </row>
        <row r="58">
          <cell r="P58">
            <v>7.0426640156244308E-2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raw data worksheet"/>
      <sheetName val="USF "/>
      <sheetName val="911 Fe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7">
          <cell r="M57">
            <v>7.3301571974767304E-2</v>
          </cell>
        </row>
      </sheetData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PPENDIX C"/>
      <sheetName val="TABLE 1"/>
      <sheetName val="TABLE 2"/>
      <sheetName val="TABLE 3"/>
      <sheetName val="TABLE 4"/>
      <sheetName val="TABLE 5"/>
      <sheetName val="TABLE 6"/>
      <sheetName val="TABLE 7"/>
      <sheetName val="TABLE B1"/>
      <sheetName val="FIG B1 DATA ONLY"/>
    </sheetNames>
    <sheetDataSet>
      <sheetData sheetId="0">
        <row r="14">
          <cell r="D14" t="str">
            <v>10.0% times FCC safe harbor</v>
          </cell>
        </row>
        <row r="28">
          <cell r="D28" t="str">
            <v>13.25% times FCC safe harbor</v>
          </cell>
        </row>
        <row r="37">
          <cell r="D37" t="str">
            <v>$1.11 per line effective 4/1/2023</v>
          </cell>
        </row>
        <row r="46">
          <cell r="D46" t="str">
            <v>2.6% times FCC safe harbor</v>
          </cell>
        </row>
        <row r="102">
          <cell r="D102" t="str">
            <v>2.3% times FCC safe harbor</v>
          </cell>
        </row>
        <row r="117">
          <cell r="D117" t="str">
            <v>11.37% x FCC safe harbor</v>
          </cell>
        </row>
        <row r="124">
          <cell r="D124" t="str">
            <v>$0.06 per line per month</v>
          </cell>
        </row>
        <row r="140">
          <cell r="D140" t="str">
            <v>$0.44 per line</v>
          </cell>
        </row>
        <row r="150">
          <cell r="D150" t="str">
            <v>$0.05 per account</v>
          </cell>
        </row>
        <row r="193">
          <cell r="D193" t="str">
            <v>$1.75 per line per month</v>
          </cell>
        </row>
        <row r="202">
          <cell r="D202" t="str">
            <v>0.34% times FCC Safe Harbor</v>
          </cell>
        </row>
        <row r="221">
          <cell r="D221" t="str">
            <v>$0.97 per line per month</v>
          </cell>
        </row>
        <row r="263">
          <cell r="D263" t="str">
            <v>$1.85 per line per month</v>
          </cell>
        </row>
        <row r="283">
          <cell r="D283" t="str">
            <v>1.39% times FCC safe harbor</v>
          </cell>
        </row>
        <row r="297">
          <cell r="D297" t="str">
            <v>2.67% times FCC safe harbor</v>
          </cell>
        </row>
        <row r="320">
          <cell r="D320" t="str">
            <v>12.0% times FCC safe harbor</v>
          </cell>
        </row>
        <row r="336">
          <cell r="D336" t="str">
            <v>Funds 911 and other programs</v>
          </cell>
        </row>
        <row r="366">
          <cell r="D366" t="str">
            <v>0.486% times FCC safe harbor</v>
          </cell>
        </row>
        <row r="373">
          <cell r="D373" t="str">
            <v>2.3% times FCC safe harbor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T38"/>
  <sheetViews>
    <sheetView tabSelected="1" topLeftCell="F3" workbookViewId="0">
      <selection activeCell="T12" sqref="T12"/>
    </sheetView>
  </sheetViews>
  <sheetFormatPr defaultColWidth="8.85546875" defaultRowHeight="15"/>
  <cols>
    <col min="1" max="1" width="37" customWidth="1"/>
    <col min="2" max="3" width="10.140625" customWidth="1"/>
    <col min="4" max="4" width="9.85546875" customWidth="1"/>
    <col min="5" max="18" width="10.140625" bestFit="1" customWidth="1"/>
    <col min="19" max="19" width="10.7109375" customWidth="1"/>
    <col min="20" max="20" width="10.42578125" customWidth="1"/>
    <col min="257" max="257" width="54.7109375" customWidth="1"/>
    <col min="258" max="258" width="13.42578125" customWidth="1"/>
    <col min="259" max="259" width="10.28515625" bestFit="1" customWidth="1"/>
    <col min="260" max="262" width="10.140625" bestFit="1" customWidth="1"/>
    <col min="263" max="263" width="11.140625" customWidth="1"/>
    <col min="264" max="264" width="10.140625" bestFit="1" customWidth="1"/>
    <col min="265" max="266" width="10.42578125" customWidth="1"/>
    <col min="267" max="267" width="10.28515625" customWidth="1"/>
    <col min="513" max="513" width="54.7109375" customWidth="1"/>
    <col min="514" max="514" width="13.42578125" customWidth="1"/>
    <col min="515" max="515" width="10.28515625" bestFit="1" customWidth="1"/>
    <col min="516" max="518" width="10.140625" bestFit="1" customWidth="1"/>
    <col min="519" max="519" width="11.140625" customWidth="1"/>
    <col min="520" max="520" width="10.140625" bestFit="1" customWidth="1"/>
    <col min="521" max="522" width="10.42578125" customWidth="1"/>
    <col min="523" max="523" width="10.28515625" customWidth="1"/>
    <col min="769" max="769" width="54.7109375" customWidth="1"/>
    <col min="770" max="770" width="13.42578125" customWidth="1"/>
    <col min="771" max="771" width="10.28515625" bestFit="1" customWidth="1"/>
    <col min="772" max="774" width="10.140625" bestFit="1" customWidth="1"/>
    <col min="775" max="775" width="11.140625" customWidth="1"/>
    <col min="776" max="776" width="10.140625" bestFit="1" customWidth="1"/>
    <col min="777" max="778" width="10.42578125" customWidth="1"/>
    <col min="779" max="779" width="10.28515625" customWidth="1"/>
    <col min="1025" max="1025" width="54.7109375" customWidth="1"/>
    <col min="1026" max="1026" width="13.42578125" customWidth="1"/>
    <col min="1027" max="1027" width="10.28515625" bestFit="1" customWidth="1"/>
    <col min="1028" max="1030" width="10.140625" bestFit="1" customWidth="1"/>
    <col min="1031" max="1031" width="11.140625" customWidth="1"/>
    <col min="1032" max="1032" width="10.140625" bestFit="1" customWidth="1"/>
    <col min="1033" max="1034" width="10.42578125" customWidth="1"/>
    <col min="1035" max="1035" width="10.28515625" customWidth="1"/>
    <col min="1281" max="1281" width="54.7109375" customWidth="1"/>
    <col min="1282" max="1282" width="13.42578125" customWidth="1"/>
    <col min="1283" max="1283" width="10.28515625" bestFit="1" customWidth="1"/>
    <col min="1284" max="1286" width="10.140625" bestFit="1" customWidth="1"/>
    <col min="1287" max="1287" width="11.140625" customWidth="1"/>
    <col min="1288" max="1288" width="10.140625" bestFit="1" customWidth="1"/>
    <col min="1289" max="1290" width="10.42578125" customWidth="1"/>
    <col min="1291" max="1291" width="10.28515625" customWidth="1"/>
    <col min="1537" max="1537" width="54.7109375" customWidth="1"/>
    <col min="1538" max="1538" width="13.42578125" customWidth="1"/>
    <col min="1539" max="1539" width="10.28515625" bestFit="1" customWidth="1"/>
    <col min="1540" max="1542" width="10.140625" bestFit="1" customWidth="1"/>
    <col min="1543" max="1543" width="11.140625" customWidth="1"/>
    <col min="1544" max="1544" width="10.140625" bestFit="1" customWidth="1"/>
    <col min="1545" max="1546" width="10.42578125" customWidth="1"/>
    <col min="1547" max="1547" width="10.28515625" customWidth="1"/>
    <col min="1793" max="1793" width="54.7109375" customWidth="1"/>
    <col min="1794" max="1794" width="13.42578125" customWidth="1"/>
    <col min="1795" max="1795" width="10.28515625" bestFit="1" customWidth="1"/>
    <col min="1796" max="1798" width="10.140625" bestFit="1" customWidth="1"/>
    <col min="1799" max="1799" width="11.140625" customWidth="1"/>
    <col min="1800" max="1800" width="10.140625" bestFit="1" customWidth="1"/>
    <col min="1801" max="1802" width="10.42578125" customWidth="1"/>
    <col min="1803" max="1803" width="10.28515625" customWidth="1"/>
    <col min="2049" max="2049" width="54.7109375" customWidth="1"/>
    <col min="2050" max="2050" width="13.42578125" customWidth="1"/>
    <col min="2051" max="2051" width="10.28515625" bestFit="1" customWidth="1"/>
    <col min="2052" max="2054" width="10.140625" bestFit="1" customWidth="1"/>
    <col min="2055" max="2055" width="11.140625" customWidth="1"/>
    <col min="2056" max="2056" width="10.140625" bestFit="1" customWidth="1"/>
    <col min="2057" max="2058" width="10.42578125" customWidth="1"/>
    <col min="2059" max="2059" width="10.28515625" customWidth="1"/>
    <col min="2305" max="2305" width="54.7109375" customWidth="1"/>
    <col min="2306" max="2306" width="13.42578125" customWidth="1"/>
    <col min="2307" max="2307" width="10.28515625" bestFit="1" customWidth="1"/>
    <col min="2308" max="2310" width="10.140625" bestFit="1" customWidth="1"/>
    <col min="2311" max="2311" width="11.140625" customWidth="1"/>
    <col min="2312" max="2312" width="10.140625" bestFit="1" customWidth="1"/>
    <col min="2313" max="2314" width="10.42578125" customWidth="1"/>
    <col min="2315" max="2315" width="10.28515625" customWidth="1"/>
    <col min="2561" max="2561" width="54.7109375" customWidth="1"/>
    <col min="2562" max="2562" width="13.42578125" customWidth="1"/>
    <col min="2563" max="2563" width="10.28515625" bestFit="1" customWidth="1"/>
    <col min="2564" max="2566" width="10.140625" bestFit="1" customWidth="1"/>
    <col min="2567" max="2567" width="11.140625" customWidth="1"/>
    <col min="2568" max="2568" width="10.140625" bestFit="1" customWidth="1"/>
    <col min="2569" max="2570" width="10.42578125" customWidth="1"/>
    <col min="2571" max="2571" width="10.28515625" customWidth="1"/>
    <col min="2817" max="2817" width="54.7109375" customWidth="1"/>
    <col min="2818" max="2818" width="13.42578125" customWidth="1"/>
    <col min="2819" max="2819" width="10.28515625" bestFit="1" customWidth="1"/>
    <col min="2820" max="2822" width="10.140625" bestFit="1" customWidth="1"/>
    <col min="2823" max="2823" width="11.140625" customWidth="1"/>
    <col min="2824" max="2824" width="10.140625" bestFit="1" customWidth="1"/>
    <col min="2825" max="2826" width="10.42578125" customWidth="1"/>
    <col min="2827" max="2827" width="10.28515625" customWidth="1"/>
    <col min="3073" max="3073" width="54.7109375" customWidth="1"/>
    <col min="3074" max="3074" width="13.42578125" customWidth="1"/>
    <col min="3075" max="3075" width="10.28515625" bestFit="1" customWidth="1"/>
    <col min="3076" max="3078" width="10.140625" bestFit="1" customWidth="1"/>
    <col min="3079" max="3079" width="11.140625" customWidth="1"/>
    <col min="3080" max="3080" width="10.140625" bestFit="1" customWidth="1"/>
    <col min="3081" max="3082" width="10.42578125" customWidth="1"/>
    <col min="3083" max="3083" width="10.28515625" customWidth="1"/>
    <col min="3329" max="3329" width="54.7109375" customWidth="1"/>
    <col min="3330" max="3330" width="13.42578125" customWidth="1"/>
    <col min="3331" max="3331" width="10.28515625" bestFit="1" customWidth="1"/>
    <col min="3332" max="3334" width="10.140625" bestFit="1" customWidth="1"/>
    <col min="3335" max="3335" width="11.140625" customWidth="1"/>
    <col min="3336" max="3336" width="10.140625" bestFit="1" customWidth="1"/>
    <col min="3337" max="3338" width="10.42578125" customWidth="1"/>
    <col min="3339" max="3339" width="10.28515625" customWidth="1"/>
    <col min="3585" max="3585" width="54.7109375" customWidth="1"/>
    <col min="3586" max="3586" width="13.42578125" customWidth="1"/>
    <col min="3587" max="3587" width="10.28515625" bestFit="1" customWidth="1"/>
    <col min="3588" max="3590" width="10.140625" bestFit="1" customWidth="1"/>
    <col min="3591" max="3591" width="11.140625" customWidth="1"/>
    <col min="3592" max="3592" width="10.140625" bestFit="1" customWidth="1"/>
    <col min="3593" max="3594" width="10.42578125" customWidth="1"/>
    <col min="3595" max="3595" width="10.28515625" customWidth="1"/>
    <col min="3841" max="3841" width="54.7109375" customWidth="1"/>
    <col min="3842" max="3842" width="13.42578125" customWidth="1"/>
    <col min="3843" max="3843" width="10.28515625" bestFit="1" customWidth="1"/>
    <col min="3844" max="3846" width="10.140625" bestFit="1" customWidth="1"/>
    <col min="3847" max="3847" width="11.140625" customWidth="1"/>
    <col min="3848" max="3848" width="10.140625" bestFit="1" customWidth="1"/>
    <col min="3849" max="3850" width="10.42578125" customWidth="1"/>
    <col min="3851" max="3851" width="10.28515625" customWidth="1"/>
    <col min="4097" max="4097" width="54.7109375" customWidth="1"/>
    <col min="4098" max="4098" width="13.42578125" customWidth="1"/>
    <col min="4099" max="4099" width="10.28515625" bestFit="1" customWidth="1"/>
    <col min="4100" max="4102" width="10.140625" bestFit="1" customWidth="1"/>
    <col min="4103" max="4103" width="11.140625" customWidth="1"/>
    <col min="4104" max="4104" width="10.140625" bestFit="1" customWidth="1"/>
    <col min="4105" max="4106" width="10.42578125" customWidth="1"/>
    <col min="4107" max="4107" width="10.28515625" customWidth="1"/>
    <col min="4353" max="4353" width="54.7109375" customWidth="1"/>
    <col min="4354" max="4354" width="13.42578125" customWidth="1"/>
    <col min="4355" max="4355" width="10.28515625" bestFit="1" customWidth="1"/>
    <col min="4356" max="4358" width="10.140625" bestFit="1" customWidth="1"/>
    <col min="4359" max="4359" width="11.140625" customWidth="1"/>
    <col min="4360" max="4360" width="10.140625" bestFit="1" customWidth="1"/>
    <col min="4361" max="4362" width="10.42578125" customWidth="1"/>
    <col min="4363" max="4363" width="10.28515625" customWidth="1"/>
    <col min="4609" max="4609" width="54.7109375" customWidth="1"/>
    <col min="4610" max="4610" width="13.42578125" customWidth="1"/>
    <col min="4611" max="4611" width="10.28515625" bestFit="1" customWidth="1"/>
    <col min="4612" max="4614" width="10.140625" bestFit="1" customWidth="1"/>
    <col min="4615" max="4615" width="11.140625" customWidth="1"/>
    <col min="4616" max="4616" width="10.140625" bestFit="1" customWidth="1"/>
    <col min="4617" max="4618" width="10.42578125" customWidth="1"/>
    <col min="4619" max="4619" width="10.28515625" customWidth="1"/>
    <col min="4865" max="4865" width="54.7109375" customWidth="1"/>
    <col min="4866" max="4866" width="13.42578125" customWidth="1"/>
    <col min="4867" max="4867" width="10.28515625" bestFit="1" customWidth="1"/>
    <col min="4868" max="4870" width="10.140625" bestFit="1" customWidth="1"/>
    <col min="4871" max="4871" width="11.140625" customWidth="1"/>
    <col min="4872" max="4872" width="10.140625" bestFit="1" customWidth="1"/>
    <col min="4873" max="4874" width="10.42578125" customWidth="1"/>
    <col min="4875" max="4875" width="10.28515625" customWidth="1"/>
    <col min="5121" max="5121" width="54.7109375" customWidth="1"/>
    <col min="5122" max="5122" width="13.42578125" customWidth="1"/>
    <col min="5123" max="5123" width="10.28515625" bestFit="1" customWidth="1"/>
    <col min="5124" max="5126" width="10.140625" bestFit="1" customWidth="1"/>
    <col min="5127" max="5127" width="11.140625" customWidth="1"/>
    <col min="5128" max="5128" width="10.140625" bestFit="1" customWidth="1"/>
    <col min="5129" max="5130" width="10.42578125" customWidth="1"/>
    <col min="5131" max="5131" width="10.28515625" customWidth="1"/>
    <col min="5377" max="5377" width="54.7109375" customWidth="1"/>
    <col min="5378" max="5378" width="13.42578125" customWidth="1"/>
    <col min="5379" max="5379" width="10.28515625" bestFit="1" customWidth="1"/>
    <col min="5380" max="5382" width="10.140625" bestFit="1" customWidth="1"/>
    <col min="5383" max="5383" width="11.140625" customWidth="1"/>
    <col min="5384" max="5384" width="10.140625" bestFit="1" customWidth="1"/>
    <col min="5385" max="5386" width="10.42578125" customWidth="1"/>
    <col min="5387" max="5387" width="10.28515625" customWidth="1"/>
    <col min="5633" max="5633" width="54.7109375" customWidth="1"/>
    <col min="5634" max="5634" width="13.42578125" customWidth="1"/>
    <col min="5635" max="5635" width="10.28515625" bestFit="1" customWidth="1"/>
    <col min="5636" max="5638" width="10.140625" bestFit="1" customWidth="1"/>
    <col min="5639" max="5639" width="11.140625" customWidth="1"/>
    <col min="5640" max="5640" width="10.140625" bestFit="1" customWidth="1"/>
    <col min="5641" max="5642" width="10.42578125" customWidth="1"/>
    <col min="5643" max="5643" width="10.28515625" customWidth="1"/>
    <col min="5889" max="5889" width="54.7109375" customWidth="1"/>
    <col min="5890" max="5890" width="13.42578125" customWidth="1"/>
    <col min="5891" max="5891" width="10.28515625" bestFit="1" customWidth="1"/>
    <col min="5892" max="5894" width="10.140625" bestFit="1" customWidth="1"/>
    <col min="5895" max="5895" width="11.140625" customWidth="1"/>
    <col min="5896" max="5896" width="10.140625" bestFit="1" customWidth="1"/>
    <col min="5897" max="5898" width="10.42578125" customWidth="1"/>
    <col min="5899" max="5899" width="10.28515625" customWidth="1"/>
    <col min="6145" max="6145" width="54.7109375" customWidth="1"/>
    <col min="6146" max="6146" width="13.42578125" customWidth="1"/>
    <col min="6147" max="6147" width="10.28515625" bestFit="1" customWidth="1"/>
    <col min="6148" max="6150" width="10.140625" bestFit="1" customWidth="1"/>
    <col min="6151" max="6151" width="11.140625" customWidth="1"/>
    <col min="6152" max="6152" width="10.140625" bestFit="1" customWidth="1"/>
    <col min="6153" max="6154" width="10.42578125" customWidth="1"/>
    <col min="6155" max="6155" width="10.28515625" customWidth="1"/>
    <col min="6401" max="6401" width="54.7109375" customWidth="1"/>
    <col min="6402" max="6402" width="13.42578125" customWidth="1"/>
    <col min="6403" max="6403" width="10.28515625" bestFit="1" customWidth="1"/>
    <col min="6404" max="6406" width="10.140625" bestFit="1" customWidth="1"/>
    <col min="6407" max="6407" width="11.140625" customWidth="1"/>
    <col min="6408" max="6408" width="10.140625" bestFit="1" customWidth="1"/>
    <col min="6409" max="6410" width="10.42578125" customWidth="1"/>
    <col min="6411" max="6411" width="10.28515625" customWidth="1"/>
    <col min="6657" max="6657" width="54.7109375" customWidth="1"/>
    <col min="6658" max="6658" width="13.42578125" customWidth="1"/>
    <col min="6659" max="6659" width="10.28515625" bestFit="1" customWidth="1"/>
    <col min="6660" max="6662" width="10.140625" bestFit="1" customWidth="1"/>
    <col min="6663" max="6663" width="11.140625" customWidth="1"/>
    <col min="6664" max="6664" width="10.140625" bestFit="1" customWidth="1"/>
    <col min="6665" max="6666" width="10.42578125" customWidth="1"/>
    <col min="6667" max="6667" width="10.28515625" customWidth="1"/>
    <col min="6913" max="6913" width="54.7109375" customWidth="1"/>
    <col min="6914" max="6914" width="13.42578125" customWidth="1"/>
    <col min="6915" max="6915" width="10.28515625" bestFit="1" customWidth="1"/>
    <col min="6916" max="6918" width="10.140625" bestFit="1" customWidth="1"/>
    <col min="6919" max="6919" width="11.140625" customWidth="1"/>
    <col min="6920" max="6920" width="10.140625" bestFit="1" customWidth="1"/>
    <col min="6921" max="6922" width="10.42578125" customWidth="1"/>
    <col min="6923" max="6923" width="10.28515625" customWidth="1"/>
    <col min="7169" max="7169" width="54.7109375" customWidth="1"/>
    <col min="7170" max="7170" width="13.42578125" customWidth="1"/>
    <col min="7171" max="7171" width="10.28515625" bestFit="1" customWidth="1"/>
    <col min="7172" max="7174" width="10.140625" bestFit="1" customWidth="1"/>
    <col min="7175" max="7175" width="11.140625" customWidth="1"/>
    <col min="7176" max="7176" width="10.140625" bestFit="1" customWidth="1"/>
    <col min="7177" max="7178" width="10.42578125" customWidth="1"/>
    <col min="7179" max="7179" width="10.28515625" customWidth="1"/>
    <col min="7425" max="7425" width="54.7109375" customWidth="1"/>
    <col min="7426" max="7426" width="13.42578125" customWidth="1"/>
    <col min="7427" max="7427" width="10.28515625" bestFit="1" customWidth="1"/>
    <col min="7428" max="7430" width="10.140625" bestFit="1" customWidth="1"/>
    <col min="7431" max="7431" width="11.140625" customWidth="1"/>
    <col min="7432" max="7432" width="10.140625" bestFit="1" customWidth="1"/>
    <col min="7433" max="7434" width="10.42578125" customWidth="1"/>
    <col min="7435" max="7435" width="10.28515625" customWidth="1"/>
    <col min="7681" max="7681" width="54.7109375" customWidth="1"/>
    <col min="7682" max="7682" width="13.42578125" customWidth="1"/>
    <col min="7683" max="7683" width="10.28515625" bestFit="1" customWidth="1"/>
    <col min="7684" max="7686" width="10.140625" bestFit="1" customWidth="1"/>
    <col min="7687" max="7687" width="11.140625" customWidth="1"/>
    <col min="7688" max="7688" width="10.140625" bestFit="1" customWidth="1"/>
    <col min="7689" max="7690" width="10.42578125" customWidth="1"/>
    <col min="7691" max="7691" width="10.28515625" customWidth="1"/>
    <col min="7937" max="7937" width="54.7109375" customWidth="1"/>
    <col min="7938" max="7938" width="13.42578125" customWidth="1"/>
    <col min="7939" max="7939" width="10.28515625" bestFit="1" customWidth="1"/>
    <col min="7940" max="7942" width="10.140625" bestFit="1" customWidth="1"/>
    <col min="7943" max="7943" width="11.140625" customWidth="1"/>
    <col min="7944" max="7944" width="10.140625" bestFit="1" customWidth="1"/>
    <col min="7945" max="7946" width="10.42578125" customWidth="1"/>
    <col min="7947" max="7947" width="10.28515625" customWidth="1"/>
    <col min="8193" max="8193" width="54.7109375" customWidth="1"/>
    <col min="8194" max="8194" width="13.42578125" customWidth="1"/>
    <col min="8195" max="8195" width="10.28515625" bestFit="1" customWidth="1"/>
    <col min="8196" max="8198" width="10.140625" bestFit="1" customWidth="1"/>
    <col min="8199" max="8199" width="11.140625" customWidth="1"/>
    <col min="8200" max="8200" width="10.140625" bestFit="1" customWidth="1"/>
    <col min="8201" max="8202" width="10.42578125" customWidth="1"/>
    <col min="8203" max="8203" width="10.28515625" customWidth="1"/>
    <col min="8449" max="8449" width="54.7109375" customWidth="1"/>
    <col min="8450" max="8450" width="13.42578125" customWidth="1"/>
    <col min="8451" max="8451" width="10.28515625" bestFit="1" customWidth="1"/>
    <col min="8452" max="8454" width="10.140625" bestFit="1" customWidth="1"/>
    <col min="8455" max="8455" width="11.140625" customWidth="1"/>
    <col min="8456" max="8456" width="10.140625" bestFit="1" customWidth="1"/>
    <col min="8457" max="8458" width="10.42578125" customWidth="1"/>
    <col min="8459" max="8459" width="10.28515625" customWidth="1"/>
    <col min="8705" max="8705" width="54.7109375" customWidth="1"/>
    <col min="8706" max="8706" width="13.42578125" customWidth="1"/>
    <col min="8707" max="8707" width="10.28515625" bestFit="1" customWidth="1"/>
    <col min="8708" max="8710" width="10.140625" bestFit="1" customWidth="1"/>
    <col min="8711" max="8711" width="11.140625" customWidth="1"/>
    <col min="8712" max="8712" width="10.140625" bestFit="1" customWidth="1"/>
    <col min="8713" max="8714" width="10.42578125" customWidth="1"/>
    <col min="8715" max="8715" width="10.28515625" customWidth="1"/>
    <col min="8961" max="8961" width="54.7109375" customWidth="1"/>
    <col min="8962" max="8962" width="13.42578125" customWidth="1"/>
    <col min="8963" max="8963" width="10.28515625" bestFit="1" customWidth="1"/>
    <col min="8964" max="8966" width="10.140625" bestFit="1" customWidth="1"/>
    <col min="8967" max="8967" width="11.140625" customWidth="1"/>
    <col min="8968" max="8968" width="10.140625" bestFit="1" customWidth="1"/>
    <col min="8969" max="8970" width="10.42578125" customWidth="1"/>
    <col min="8971" max="8971" width="10.28515625" customWidth="1"/>
    <col min="9217" max="9217" width="54.7109375" customWidth="1"/>
    <col min="9218" max="9218" width="13.42578125" customWidth="1"/>
    <col min="9219" max="9219" width="10.28515625" bestFit="1" customWidth="1"/>
    <col min="9220" max="9222" width="10.140625" bestFit="1" customWidth="1"/>
    <col min="9223" max="9223" width="11.140625" customWidth="1"/>
    <col min="9224" max="9224" width="10.140625" bestFit="1" customWidth="1"/>
    <col min="9225" max="9226" width="10.42578125" customWidth="1"/>
    <col min="9227" max="9227" width="10.28515625" customWidth="1"/>
    <col min="9473" max="9473" width="54.7109375" customWidth="1"/>
    <col min="9474" max="9474" width="13.42578125" customWidth="1"/>
    <col min="9475" max="9475" width="10.28515625" bestFit="1" customWidth="1"/>
    <col min="9476" max="9478" width="10.140625" bestFit="1" customWidth="1"/>
    <col min="9479" max="9479" width="11.140625" customWidth="1"/>
    <col min="9480" max="9480" width="10.140625" bestFit="1" customWidth="1"/>
    <col min="9481" max="9482" width="10.42578125" customWidth="1"/>
    <col min="9483" max="9483" width="10.28515625" customWidth="1"/>
    <col min="9729" max="9729" width="54.7109375" customWidth="1"/>
    <col min="9730" max="9730" width="13.42578125" customWidth="1"/>
    <col min="9731" max="9731" width="10.28515625" bestFit="1" customWidth="1"/>
    <col min="9732" max="9734" width="10.140625" bestFit="1" customWidth="1"/>
    <col min="9735" max="9735" width="11.140625" customWidth="1"/>
    <col min="9736" max="9736" width="10.140625" bestFit="1" customWidth="1"/>
    <col min="9737" max="9738" width="10.42578125" customWidth="1"/>
    <col min="9739" max="9739" width="10.28515625" customWidth="1"/>
    <col min="9985" max="9985" width="54.7109375" customWidth="1"/>
    <col min="9986" max="9986" width="13.42578125" customWidth="1"/>
    <col min="9987" max="9987" width="10.28515625" bestFit="1" customWidth="1"/>
    <col min="9988" max="9990" width="10.140625" bestFit="1" customWidth="1"/>
    <col min="9991" max="9991" width="11.140625" customWidth="1"/>
    <col min="9992" max="9992" width="10.140625" bestFit="1" customWidth="1"/>
    <col min="9993" max="9994" width="10.42578125" customWidth="1"/>
    <col min="9995" max="9995" width="10.28515625" customWidth="1"/>
    <col min="10241" max="10241" width="54.7109375" customWidth="1"/>
    <col min="10242" max="10242" width="13.42578125" customWidth="1"/>
    <col min="10243" max="10243" width="10.28515625" bestFit="1" customWidth="1"/>
    <col min="10244" max="10246" width="10.140625" bestFit="1" customWidth="1"/>
    <col min="10247" max="10247" width="11.140625" customWidth="1"/>
    <col min="10248" max="10248" width="10.140625" bestFit="1" customWidth="1"/>
    <col min="10249" max="10250" width="10.42578125" customWidth="1"/>
    <col min="10251" max="10251" width="10.28515625" customWidth="1"/>
    <col min="10497" max="10497" width="54.7109375" customWidth="1"/>
    <col min="10498" max="10498" width="13.42578125" customWidth="1"/>
    <col min="10499" max="10499" width="10.28515625" bestFit="1" customWidth="1"/>
    <col min="10500" max="10502" width="10.140625" bestFit="1" customWidth="1"/>
    <col min="10503" max="10503" width="11.140625" customWidth="1"/>
    <col min="10504" max="10504" width="10.140625" bestFit="1" customWidth="1"/>
    <col min="10505" max="10506" width="10.42578125" customWidth="1"/>
    <col min="10507" max="10507" width="10.28515625" customWidth="1"/>
    <col min="10753" max="10753" width="54.7109375" customWidth="1"/>
    <col min="10754" max="10754" width="13.42578125" customWidth="1"/>
    <col min="10755" max="10755" width="10.28515625" bestFit="1" customWidth="1"/>
    <col min="10756" max="10758" width="10.140625" bestFit="1" customWidth="1"/>
    <col min="10759" max="10759" width="11.140625" customWidth="1"/>
    <col min="10760" max="10760" width="10.140625" bestFit="1" customWidth="1"/>
    <col min="10761" max="10762" width="10.42578125" customWidth="1"/>
    <col min="10763" max="10763" width="10.28515625" customWidth="1"/>
    <col min="11009" max="11009" width="54.7109375" customWidth="1"/>
    <col min="11010" max="11010" width="13.42578125" customWidth="1"/>
    <col min="11011" max="11011" width="10.28515625" bestFit="1" customWidth="1"/>
    <col min="11012" max="11014" width="10.140625" bestFit="1" customWidth="1"/>
    <col min="11015" max="11015" width="11.140625" customWidth="1"/>
    <col min="11016" max="11016" width="10.140625" bestFit="1" customWidth="1"/>
    <col min="11017" max="11018" width="10.42578125" customWidth="1"/>
    <col min="11019" max="11019" width="10.28515625" customWidth="1"/>
    <col min="11265" max="11265" width="54.7109375" customWidth="1"/>
    <col min="11266" max="11266" width="13.42578125" customWidth="1"/>
    <col min="11267" max="11267" width="10.28515625" bestFit="1" customWidth="1"/>
    <col min="11268" max="11270" width="10.140625" bestFit="1" customWidth="1"/>
    <col min="11271" max="11271" width="11.140625" customWidth="1"/>
    <col min="11272" max="11272" width="10.140625" bestFit="1" customWidth="1"/>
    <col min="11273" max="11274" width="10.42578125" customWidth="1"/>
    <col min="11275" max="11275" width="10.28515625" customWidth="1"/>
    <col min="11521" max="11521" width="54.7109375" customWidth="1"/>
    <col min="11522" max="11522" width="13.42578125" customWidth="1"/>
    <col min="11523" max="11523" width="10.28515625" bestFit="1" customWidth="1"/>
    <col min="11524" max="11526" width="10.140625" bestFit="1" customWidth="1"/>
    <col min="11527" max="11527" width="11.140625" customWidth="1"/>
    <col min="11528" max="11528" width="10.140625" bestFit="1" customWidth="1"/>
    <col min="11529" max="11530" width="10.42578125" customWidth="1"/>
    <col min="11531" max="11531" width="10.28515625" customWidth="1"/>
    <col min="11777" max="11777" width="54.7109375" customWidth="1"/>
    <col min="11778" max="11778" width="13.42578125" customWidth="1"/>
    <col min="11779" max="11779" width="10.28515625" bestFit="1" customWidth="1"/>
    <col min="11780" max="11782" width="10.140625" bestFit="1" customWidth="1"/>
    <col min="11783" max="11783" width="11.140625" customWidth="1"/>
    <col min="11784" max="11784" width="10.140625" bestFit="1" customWidth="1"/>
    <col min="11785" max="11786" width="10.42578125" customWidth="1"/>
    <col min="11787" max="11787" width="10.28515625" customWidth="1"/>
    <col min="12033" max="12033" width="54.7109375" customWidth="1"/>
    <col min="12034" max="12034" width="13.42578125" customWidth="1"/>
    <col min="12035" max="12035" width="10.28515625" bestFit="1" customWidth="1"/>
    <col min="12036" max="12038" width="10.140625" bestFit="1" customWidth="1"/>
    <col min="12039" max="12039" width="11.140625" customWidth="1"/>
    <col min="12040" max="12040" width="10.140625" bestFit="1" customWidth="1"/>
    <col min="12041" max="12042" width="10.42578125" customWidth="1"/>
    <col min="12043" max="12043" width="10.28515625" customWidth="1"/>
    <col min="12289" max="12289" width="54.7109375" customWidth="1"/>
    <col min="12290" max="12290" width="13.42578125" customWidth="1"/>
    <col min="12291" max="12291" width="10.28515625" bestFit="1" customWidth="1"/>
    <col min="12292" max="12294" width="10.140625" bestFit="1" customWidth="1"/>
    <col min="12295" max="12295" width="11.140625" customWidth="1"/>
    <col min="12296" max="12296" width="10.140625" bestFit="1" customWidth="1"/>
    <col min="12297" max="12298" width="10.42578125" customWidth="1"/>
    <col min="12299" max="12299" width="10.28515625" customWidth="1"/>
    <col min="12545" max="12545" width="54.7109375" customWidth="1"/>
    <col min="12546" max="12546" width="13.42578125" customWidth="1"/>
    <col min="12547" max="12547" width="10.28515625" bestFit="1" customWidth="1"/>
    <col min="12548" max="12550" width="10.140625" bestFit="1" customWidth="1"/>
    <col min="12551" max="12551" width="11.140625" customWidth="1"/>
    <col min="12552" max="12552" width="10.140625" bestFit="1" customWidth="1"/>
    <col min="12553" max="12554" width="10.42578125" customWidth="1"/>
    <col min="12555" max="12555" width="10.28515625" customWidth="1"/>
    <col min="12801" max="12801" width="54.7109375" customWidth="1"/>
    <col min="12802" max="12802" width="13.42578125" customWidth="1"/>
    <col min="12803" max="12803" width="10.28515625" bestFit="1" customWidth="1"/>
    <col min="12804" max="12806" width="10.140625" bestFit="1" customWidth="1"/>
    <col min="12807" max="12807" width="11.140625" customWidth="1"/>
    <col min="12808" max="12808" width="10.140625" bestFit="1" customWidth="1"/>
    <col min="12809" max="12810" width="10.42578125" customWidth="1"/>
    <col min="12811" max="12811" width="10.28515625" customWidth="1"/>
    <col min="13057" max="13057" width="54.7109375" customWidth="1"/>
    <col min="13058" max="13058" width="13.42578125" customWidth="1"/>
    <col min="13059" max="13059" width="10.28515625" bestFit="1" customWidth="1"/>
    <col min="13060" max="13062" width="10.140625" bestFit="1" customWidth="1"/>
    <col min="13063" max="13063" width="11.140625" customWidth="1"/>
    <col min="13064" max="13064" width="10.140625" bestFit="1" customWidth="1"/>
    <col min="13065" max="13066" width="10.42578125" customWidth="1"/>
    <col min="13067" max="13067" width="10.28515625" customWidth="1"/>
    <col min="13313" max="13313" width="54.7109375" customWidth="1"/>
    <col min="13314" max="13314" width="13.42578125" customWidth="1"/>
    <col min="13315" max="13315" width="10.28515625" bestFit="1" customWidth="1"/>
    <col min="13316" max="13318" width="10.140625" bestFit="1" customWidth="1"/>
    <col min="13319" max="13319" width="11.140625" customWidth="1"/>
    <col min="13320" max="13320" width="10.140625" bestFit="1" customWidth="1"/>
    <col min="13321" max="13322" width="10.42578125" customWidth="1"/>
    <col min="13323" max="13323" width="10.28515625" customWidth="1"/>
    <col min="13569" max="13569" width="54.7109375" customWidth="1"/>
    <col min="13570" max="13570" width="13.42578125" customWidth="1"/>
    <col min="13571" max="13571" width="10.28515625" bestFit="1" customWidth="1"/>
    <col min="13572" max="13574" width="10.140625" bestFit="1" customWidth="1"/>
    <col min="13575" max="13575" width="11.140625" customWidth="1"/>
    <col min="13576" max="13576" width="10.140625" bestFit="1" customWidth="1"/>
    <col min="13577" max="13578" width="10.42578125" customWidth="1"/>
    <col min="13579" max="13579" width="10.28515625" customWidth="1"/>
    <col min="13825" max="13825" width="54.7109375" customWidth="1"/>
    <col min="13826" max="13826" width="13.42578125" customWidth="1"/>
    <col min="13827" max="13827" width="10.28515625" bestFit="1" customWidth="1"/>
    <col min="13828" max="13830" width="10.140625" bestFit="1" customWidth="1"/>
    <col min="13831" max="13831" width="11.140625" customWidth="1"/>
    <col min="13832" max="13832" width="10.140625" bestFit="1" customWidth="1"/>
    <col min="13833" max="13834" width="10.42578125" customWidth="1"/>
    <col min="13835" max="13835" width="10.28515625" customWidth="1"/>
    <col min="14081" max="14081" width="54.7109375" customWidth="1"/>
    <col min="14082" max="14082" width="13.42578125" customWidth="1"/>
    <col min="14083" max="14083" width="10.28515625" bestFit="1" customWidth="1"/>
    <col min="14084" max="14086" width="10.140625" bestFit="1" customWidth="1"/>
    <col min="14087" max="14087" width="11.140625" customWidth="1"/>
    <col min="14088" max="14088" width="10.140625" bestFit="1" customWidth="1"/>
    <col min="14089" max="14090" width="10.42578125" customWidth="1"/>
    <col min="14091" max="14091" width="10.28515625" customWidth="1"/>
    <col min="14337" max="14337" width="54.7109375" customWidth="1"/>
    <col min="14338" max="14338" width="13.42578125" customWidth="1"/>
    <col min="14339" max="14339" width="10.28515625" bestFit="1" customWidth="1"/>
    <col min="14340" max="14342" width="10.140625" bestFit="1" customWidth="1"/>
    <col min="14343" max="14343" width="11.140625" customWidth="1"/>
    <col min="14344" max="14344" width="10.140625" bestFit="1" customWidth="1"/>
    <col min="14345" max="14346" width="10.42578125" customWidth="1"/>
    <col min="14347" max="14347" width="10.28515625" customWidth="1"/>
    <col min="14593" max="14593" width="54.7109375" customWidth="1"/>
    <col min="14594" max="14594" width="13.42578125" customWidth="1"/>
    <col min="14595" max="14595" width="10.28515625" bestFit="1" customWidth="1"/>
    <col min="14596" max="14598" width="10.140625" bestFit="1" customWidth="1"/>
    <col min="14599" max="14599" width="11.140625" customWidth="1"/>
    <col min="14600" max="14600" width="10.140625" bestFit="1" customWidth="1"/>
    <col min="14601" max="14602" width="10.42578125" customWidth="1"/>
    <col min="14603" max="14603" width="10.28515625" customWidth="1"/>
    <col min="14849" max="14849" width="54.7109375" customWidth="1"/>
    <col min="14850" max="14850" width="13.42578125" customWidth="1"/>
    <col min="14851" max="14851" width="10.28515625" bestFit="1" customWidth="1"/>
    <col min="14852" max="14854" width="10.140625" bestFit="1" customWidth="1"/>
    <col min="14855" max="14855" width="11.140625" customWidth="1"/>
    <col min="14856" max="14856" width="10.140625" bestFit="1" customWidth="1"/>
    <col min="14857" max="14858" width="10.42578125" customWidth="1"/>
    <col min="14859" max="14859" width="10.28515625" customWidth="1"/>
    <col min="15105" max="15105" width="54.7109375" customWidth="1"/>
    <col min="15106" max="15106" width="13.42578125" customWidth="1"/>
    <col min="15107" max="15107" width="10.28515625" bestFit="1" customWidth="1"/>
    <col min="15108" max="15110" width="10.140625" bestFit="1" customWidth="1"/>
    <col min="15111" max="15111" width="11.140625" customWidth="1"/>
    <col min="15112" max="15112" width="10.140625" bestFit="1" customWidth="1"/>
    <col min="15113" max="15114" width="10.42578125" customWidth="1"/>
    <col min="15115" max="15115" width="10.28515625" customWidth="1"/>
    <col min="15361" max="15361" width="54.7109375" customWidth="1"/>
    <col min="15362" max="15362" width="13.42578125" customWidth="1"/>
    <col min="15363" max="15363" width="10.28515625" bestFit="1" customWidth="1"/>
    <col min="15364" max="15366" width="10.140625" bestFit="1" customWidth="1"/>
    <col min="15367" max="15367" width="11.140625" customWidth="1"/>
    <col min="15368" max="15368" width="10.140625" bestFit="1" customWidth="1"/>
    <col min="15369" max="15370" width="10.42578125" customWidth="1"/>
    <col min="15371" max="15371" width="10.28515625" customWidth="1"/>
    <col min="15617" max="15617" width="54.7109375" customWidth="1"/>
    <col min="15618" max="15618" width="13.42578125" customWidth="1"/>
    <col min="15619" max="15619" width="10.28515625" bestFit="1" customWidth="1"/>
    <col min="15620" max="15622" width="10.140625" bestFit="1" customWidth="1"/>
    <col min="15623" max="15623" width="11.140625" customWidth="1"/>
    <col min="15624" max="15624" width="10.140625" bestFit="1" customWidth="1"/>
    <col min="15625" max="15626" width="10.42578125" customWidth="1"/>
    <col min="15627" max="15627" width="10.28515625" customWidth="1"/>
    <col min="15873" max="15873" width="54.7109375" customWidth="1"/>
    <col min="15874" max="15874" width="13.42578125" customWidth="1"/>
    <col min="15875" max="15875" width="10.28515625" bestFit="1" customWidth="1"/>
    <col min="15876" max="15878" width="10.140625" bestFit="1" customWidth="1"/>
    <col min="15879" max="15879" width="11.140625" customWidth="1"/>
    <col min="15880" max="15880" width="10.140625" bestFit="1" customWidth="1"/>
    <col min="15881" max="15882" width="10.42578125" customWidth="1"/>
    <col min="15883" max="15883" width="10.28515625" customWidth="1"/>
    <col min="16129" max="16129" width="54.7109375" customWidth="1"/>
    <col min="16130" max="16130" width="13.42578125" customWidth="1"/>
    <col min="16131" max="16131" width="10.28515625" bestFit="1" customWidth="1"/>
    <col min="16132" max="16134" width="10.140625" bestFit="1" customWidth="1"/>
    <col min="16135" max="16135" width="11.140625" customWidth="1"/>
    <col min="16136" max="16136" width="10.140625" bestFit="1" customWidth="1"/>
    <col min="16137" max="16138" width="10.42578125" customWidth="1"/>
    <col min="16139" max="16139" width="10.28515625" customWidth="1"/>
  </cols>
  <sheetData>
    <row r="3" spans="1:20" ht="18">
      <c r="A3" s="86" t="s">
        <v>202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20" ht="15.75">
      <c r="A4" s="22"/>
    </row>
    <row r="5" spans="1:20" ht="15.75">
      <c r="B5" s="23">
        <v>37622</v>
      </c>
      <c r="C5" s="23">
        <v>38078</v>
      </c>
      <c r="D5" s="23">
        <v>38534</v>
      </c>
      <c r="E5" s="23">
        <v>38899</v>
      </c>
      <c r="F5" s="23">
        <v>39264</v>
      </c>
      <c r="G5" s="23">
        <v>39630</v>
      </c>
      <c r="H5" s="23">
        <v>39995</v>
      </c>
      <c r="I5" s="23">
        <v>40360</v>
      </c>
      <c r="J5" s="23">
        <v>41091</v>
      </c>
      <c r="K5" s="23">
        <v>41821</v>
      </c>
      <c r="L5" s="23">
        <v>42186</v>
      </c>
      <c r="M5" s="23">
        <v>42552</v>
      </c>
      <c r="N5" s="23">
        <v>42917</v>
      </c>
      <c r="O5" s="23">
        <v>43282</v>
      </c>
      <c r="P5" s="23">
        <v>43647</v>
      </c>
      <c r="Q5" s="23">
        <v>44013</v>
      </c>
      <c r="R5" s="23">
        <v>44378</v>
      </c>
      <c r="S5" s="23">
        <v>44743</v>
      </c>
      <c r="T5" s="23">
        <v>45108</v>
      </c>
    </row>
    <row r="6" spans="1:20" ht="15.75">
      <c r="A6" s="24" t="s">
        <v>203</v>
      </c>
    </row>
    <row r="7" spans="1:20" ht="15.75">
      <c r="A7" s="22" t="s">
        <v>258</v>
      </c>
      <c r="B7" s="25">
        <v>0.10199999999999999</v>
      </c>
      <c r="C7" s="25">
        <v>0.1074</v>
      </c>
      <c r="D7" s="25">
        <v>0.1094</v>
      </c>
      <c r="E7" s="25">
        <v>0.1114</v>
      </c>
      <c r="F7" s="25">
        <v>0.11</v>
      </c>
      <c r="G7" s="25">
        <v>0.1086</v>
      </c>
      <c r="H7" s="25">
        <v>0.1074</v>
      </c>
      <c r="I7" s="25">
        <v>0.11210000000000001</v>
      </c>
      <c r="J7" s="25">
        <v>0.11360000000000001</v>
      </c>
      <c r="K7" s="25">
        <v>0.1123</v>
      </c>
      <c r="L7" s="25">
        <v>0.115</v>
      </c>
      <c r="M7" s="25">
        <v>0.1193</v>
      </c>
      <c r="N7" s="25">
        <v>0.1211</v>
      </c>
      <c r="O7" s="25">
        <v>0.1246</v>
      </c>
      <c r="P7" s="25">
        <v>0.1265</v>
      </c>
      <c r="Q7" s="25">
        <f>'[1]WGHT calcs --not for publicatio'!E60</f>
        <v>0.12818055477702545</v>
      </c>
      <c r="R7" s="25">
        <v>0.13159999999999999</v>
      </c>
      <c r="S7" s="25">
        <v>0.13150000000000001</v>
      </c>
      <c r="T7" s="25">
        <v>0.13700000000000001</v>
      </c>
    </row>
    <row r="8" spans="1:20" ht="15.75">
      <c r="A8" s="22" t="s">
        <v>204</v>
      </c>
      <c r="B8" s="25">
        <v>5.0700000000000002E-2</v>
      </c>
      <c r="C8" s="25">
        <v>5.4800000000000001E-2</v>
      </c>
      <c r="D8" s="25">
        <v>5.91E-2</v>
      </c>
      <c r="E8" s="25">
        <v>2.9899999999999999E-2</v>
      </c>
      <c r="F8" s="25">
        <v>4.19E-2</v>
      </c>
      <c r="G8" s="25">
        <f>11.4%*0.371</f>
        <v>4.2293999999999998E-2</v>
      </c>
      <c r="H8" s="25">
        <v>4.7899999999999998E-2</v>
      </c>
      <c r="I8" s="25">
        <v>5.0500000000000003E-2</v>
      </c>
      <c r="J8" s="25">
        <v>5.8200000000000002E-2</v>
      </c>
      <c r="K8" s="25">
        <v>5.8200000000000002E-2</v>
      </c>
      <c r="L8" s="25">
        <f>6.46%</f>
        <v>6.4600000000000005E-2</v>
      </c>
      <c r="M8" s="25">
        <v>6.6400000000000001E-2</v>
      </c>
      <c r="N8" s="25">
        <f>17.1%*0.371</f>
        <v>6.3440999999999997E-2</v>
      </c>
      <c r="O8" s="25">
        <f>17.9%*0.371</f>
        <v>6.6408999999999996E-2</v>
      </c>
      <c r="P8" s="25">
        <f>24.4%*0.371</f>
        <v>9.0523999999999993E-2</v>
      </c>
      <c r="Q8" s="25">
        <f>26.5%*0.371</f>
        <v>9.8315E-2</v>
      </c>
      <c r="R8" s="25">
        <f>0.371*0.318</f>
        <v>0.117978</v>
      </c>
      <c r="S8" s="25">
        <v>0.12239999999999999</v>
      </c>
      <c r="T8" s="25">
        <v>0.10829999999999999</v>
      </c>
    </row>
    <row r="9" spans="1:20" ht="15.75">
      <c r="A9" s="22" t="s">
        <v>205</v>
      </c>
      <c r="B9" s="26">
        <f t="shared" ref="B9:T9" si="0">B7+B8</f>
        <v>0.1527</v>
      </c>
      <c r="C9" s="26">
        <f t="shared" si="0"/>
        <v>0.16220000000000001</v>
      </c>
      <c r="D9" s="26">
        <f t="shared" si="0"/>
        <v>0.16849999999999998</v>
      </c>
      <c r="E9" s="26">
        <f t="shared" si="0"/>
        <v>0.14130000000000001</v>
      </c>
      <c r="F9" s="26">
        <f t="shared" si="0"/>
        <v>0.15190000000000001</v>
      </c>
      <c r="G9" s="26">
        <f t="shared" si="0"/>
        <v>0.150894</v>
      </c>
      <c r="H9" s="26">
        <f t="shared" si="0"/>
        <v>0.15529999999999999</v>
      </c>
      <c r="I9" s="26">
        <f t="shared" si="0"/>
        <v>0.16260000000000002</v>
      </c>
      <c r="J9" s="26">
        <f t="shared" si="0"/>
        <v>0.17180000000000001</v>
      </c>
      <c r="K9" s="26">
        <f t="shared" si="0"/>
        <v>0.17049999999999998</v>
      </c>
      <c r="L9" s="26">
        <f t="shared" si="0"/>
        <v>0.17960000000000001</v>
      </c>
      <c r="M9" s="26">
        <f t="shared" si="0"/>
        <v>0.1857</v>
      </c>
      <c r="N9" s="26">
        <f t="shared" si="0"/>
        <v>0.18454100000000001</v>
      </c>
      <c r="O9" s="26">
        <f t="shared" si="0"/>
        <v>0.19100899999999998</v>
      </c>
      <c r="P9" s="25">
        <f t="shared" si="0"/>
        <v>0.21702399999999999</v>
      </c>
      <c r="Q9" s="25">
        <f t="shared" si="0"/>
        <v>0.22649555477702543</v>
      </c>
      <c r="R9" s="25">
        <f t="shared" si="0"/>
        <v>0.24957799999999999</v>
      </c>
      <c r="S9" s="25">
        <f t="shared" si="0"/>
        <v>0.25390000000000001</v>
      </c>
      <c r="T9" s="25">
        <f t="shared" si="0"/>
        <v>0.24530000000000002</v>
      </c>
    </row>
    <row r="10" spans="1:20" ht="15.75">
      <c r="A10" s="22"/>
      <c r="B10" s="26"/>
      <c r="C10" s="26"/>
      <c r="D10" s="26"/>
      <c r="E10" s="26"/>
      <c r="F10" s="26"/>
      <c r="G10" s="26"/>
      <c r="H10" s="26"/>
      <c r="I10" s="26"/>
      <c r="J10" s="26"/>
      <c r="K10" s="25"/>
      <c r="M10" s="25"/>
      <c r="P10" s="25"/>
      <c r="Q10" s="25"/>
      <c r="S10" s="25"/>
    </row>
    <row r="11" spans="1:20" ht="15.75">
      <c r="A11" s="22" t="s">
        <v>243</v>
      </c>
      <c r="B11" s="25">
        <v>6.8699999999999997E-2</v>
      </c>
      <c r="C11" s="25">
        <v>6.93E-2</v>
      </c>
      <c r="D11" s="25">
        <v>6.9400000000000003E-2</v>
      </c>
      <c r="E11" s="25">
        <f>'[2]Multiyear source data'!P58</f>
        <v>7.0426640156244308E-2</v>
      </c>
      <c r="F11" s="25">
        <v>7.0699999999999999E-2</v>
      </c>
      <c r="G11" s="25">
        <v>7.1099999999999997E-2</v>
      </c>
      <c r="H11" s="25">
        <v>7.2599999999999998E-2</v>
      </c>
      <c r="I11" s="25">
        <v>7.4200000000000002E-2</v>
      </c>
      <c r="J11" s="25">
        <f>'[3]raw data worksheet'!M57</f>
        <v>7.3301571974767304E-2</v>
      </c>
      <c r="K11" s="25">
        <v>7.51E-2</v>
      </c>
      <c r="L11" s="25">
        <v>7.5700000000000003E-2</v>
      </c>
      <c r="M11" s="25">
        <f>7.61%</f>
        <v>7.6100000000000001E-2</v>
      </c>
      <c r="N11" s="25">
        <v>7.6499999999999999E-2</v>
      </c>
      <c r="O11" s="25">
        <v>7.6499999999999999E-2</v>
      </c>
      <c r="P11" s="25">
        <v>7.7399999999999997E-2</v>
      </c>
      <c r="Q11" s="25">
        <f>'[1]WGHT calcs --not for publicatio'!C60</f>
        <v>7.7460801386271427E-2</v>
      </c>
      <c r="R11" s="25">
        <v>7.7799999999999994E-2</v>
      </c>
      <c r="S11" s="25">
        <v>7.7700000000000005E-2</v>
      </c>
      <c r="T11" s="25">
        <v>7.7700000000000005E-2</v>
      </c>
    </row>
    <row r="12" spans="1:20" ht="15.75">
      <c r="K12" s="25"/>
      <c r="M12" s="25"/>
      <c r="P12" s="25"/>
      <c r="Q12" s="25"/>
      <c r="S12" s="25"/>
      <c r="T12" s="25"/>
    </row>
    <row r="13" spans="1:20" ht="15.75">
      <c r="A13" s="22" t="s">
        <v>411</v>
      </c>
      <c r="B13" s="25">
        <f>B7-B11</f>
        <v>3.3299999999999996E-2</v>
      </c>
      <c r="C13" s="25">
        <f t="shared" ref="C13:K13" si="1">C7-C11</f>
        <v>3.8099999999999995E-2</v>
      </c>
      <c r="D13" s="25">
        <f t="shared" si="1"/>
        <v>3.9999999999999994E-2</v>
      </c>
      <c r="E13" s="25">
        <f t="shared" si="1"/>
        <v>4.0973359843755691E-2</v>
      </c>
      <c r="F13" s="25">
        <f t="shared" si="1"/>
        <v>3.9300000000000002E-2</v>
      </c>
      <c r="G13" s="25">
        <f t="shared" si="1"/>
        <v>3.7500000000000006E-2</v>
      </c>
      <c r="H13" s="25">
        <f t="shared" si="1"/>
        <v>3.4799999999999998E-2</v>
      </c>
      <c r="I13" s="25">
        <f t="shared" si="1"/>
        <v>3.7900000000000003E-2</v>
      </c>
      <c r="J13" s="25">
        <f t="shared" si="1"/>
        <v>4.0298428025232702E-2</v>
      </c>
      <c r="K13" s="25">
        <f t="shared" si="1"/>
        <v>3.7199999999999997E-2</v>
      </c>
      <c r="L13" s="25">
        <f>L7-L11</f>
        <v>3.9300000000000002E-2</v>
      </c>
      <c r="M13" s="25">
        <f>M7-M11</f>
        <v>4.3200000000000002E-2</v>
      </c>
      <c r="N13" s="25">
        <f>N7-N11</f>
        <v>4.4600000000000001E-2</v>
      </c>
      <c r="O13" s="25">
        <f t="shared" ref="O13" si="2">O7-O11</f>
        <v>4.8100000000000004E-2</v>
      </c>
      <c r="P13" s="25">
        <f>P7-P11</f>
        <v>4.9100000000000005E-2</v>
      </c>
      <c r="Q13" s="25">
        <f>Q7-Q11</f>
        <v>5.0719753390754019E-2</v>
      </c>
      <c r="R13" s="25">
        <f t="shared" ref="R13:T13" si="3">R7-R11</f>
        <v>5.3800000000000001E-2</v>
      </c>
      <c r="S13" s="25">
        <f t="shared" si="3"/>
        <v>5.3800000000000001E-2</v>
      </c>
      <c r="T13" s="25">
        <f t="shared" si="3"/>
        <v>5.9300000000000005E-2</v>
      </c>
    </row>
    <row r="14" spans="1:20" ht="15.75">
      <c r="A14" s="22"/>
      <c r="B14" s="25"/>
      <c r="C14" s="25"/>
      <c r="D14" s="25"/>
      <c r="E14" s="25"/>
      <c r="F14" s="25"/>
      <c r="G14" s="25"/>
      <c r="H14" s="25"/>
      <c r="I14" s="25"/>
      <c r="J14" s="25"/>
    </row>
    <row r="15" spans="1:20">
      <c r="A15" t="s">
        <v>206</v>
      </c>
      <c r="J15" s="10"/>
    </row>
    <row r="16" spans="1:20">
      <c r="A16" t="s">
        <v>455</v>
      </c>
    </row>
    <row r="17" spans="1:15">
      <c r="A17" t="s">
        <v>408</v>
      </c>
      <c r="O17" s="67"/>
    </row>
    <row r="19" spans="1:15">
      <c r="A19" t="s">
        <v>333</v>
      </c>
    </row>
    <row r="20" spans="1:15" ht="15" hidden="1" customHeight="1">
      <c r="A20" t="s">
        <v>257</v>
      </c>
    </row>
    <row r="21" spans="1:15" ht="15" hidden="1" customHeight="1">
      <c r="A21" t="s">
        <v>207</v>
      </c>
    </row>
    <row r="22" spans="1:15" ht="15" hidden="1" customHeight="1">
      <c r="A22" t="s">
        <v>208</v>
      </c>
    </row>
    <row r="23" spans="1:15" ht="15" hidden="1" customHeight="1">
      <c r="A23" t="s">
        <v>209</v>
      </c>
    </row>
    <row r="24" spans="1:15" ht="15" hidden="1" customHeight="1">
      <c r="A24" t="s">
        <v>210</v>
      </c>
    </row>
    <row r="25" spans="1:15" ht="15" hidden="1" customHeight="1">
      <c r="A25" t="s">
        <v>211</v>
      </c>
    </row>
    <row r="26" spans="1:15" ht="15" hidden="1" customHeight="1">
      <c r="A26" t="s">
        <v>212</v>
      </c>
    </row>
    <row r="27" spans="1:15" ht="15" hidden="1" customHeight="1">
      <c r="A27" t="s">
        <v>213</v>
      </c>
    </row>
    <row r="28" spans="1:15" ht="15" hidden="1" customHeight="1">
      <c r="A28" t="s">
        <v>214</v>
      </c>
    </row>
    <row r="29" spans="1:15" ht="15" hidden="1" customHeight="1">
      <c r="A29" t="s">
        <v>215</v>
      </c>
    </row>
    <row r="30" spans="1:15" ht="15" hidden="1" customHeight="1">
      <c r="A30" t="s">
        <v>252</v>
      </c>
    </row>
    <row r="31" spans="1:15">
      <c r="A31" t="s">
        <v>503</v>
      </c>
      <c r="N31" s="67"/>
    </row>
    <row r="33" spans="1:10">
      <c r="A33" t="s">
        <v>514</v>
      </c>
    </row>
    <row r="34" spans="1:10">
      <c r="B34" s="16"/>
      <c r="C34" s="16"/>
    </row>
    <row r="35" spans="1:10">
      <c r="B35" s="16"/>
    </row>
    <row r="36" spans="1:10" ht="15.75"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5.75">
      <c r="B37" s="25"/>
      <c r="C37" s="25"/>
      <c r="D37" s="25"/>
      <c r="E37" s="25"/>
      <c r="F37" s="25"/>
      <c r="G37" s="25"/>
      <c r="H37" s="25"/>
      <c r="I37" s="25"/>
      <c r="J37" s="25"/>
    </row>
    <row r="38" spans="1:10" ht="15.75">
      <c r="B38" s="25"/>
      <c r="C38" s="25"/>
      <c r="D38" s="25"/>
      <c r="E38" s="25"/>
      <c r="F38" s="25"/>
      <c r="G38" s="25"/>
      <c r="H38" s="25"/>
      <c r="I38" s="25"/>
      <c r="J38" s="25"/>
    </row>
  </sheetData>
  <mergeCells count="1">
    <mergeCell ref="A3:P3"/>
  </mergeCells>
  <printOptions gridLines="1"/>
  <pageMargins left="0.7" right="0.7" top="0.75" bottom="0.75" header="0.3" footer="0.3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66"/>
  <sheetViews>
    <sheetView topLeftCell="A39" zoomScale="106" zoomScaleNormal="106" workbookViewId="0">
      <selection activeCell="F7" sqref="F7"/>
    </sheetView>
  </sheetViews>
  <sheetFormatPr defaultColWidth="8.85546875" defaultRowHeight="15"/>
  <cols>
    <col min="1" max="1" width="5" style="10" customWidth="1"/>
    <col min="2" max="2" width="25.140625" customWidth="1"/>
    <col min="3" max="3" width="14.85546875" customWidth="1"/>
    <col min="4" max="4" width="13.5703125" customWidth="1"/>
    <col min="5" max="5" width="24.42578125" customWidth="1"/>
    <col min="6" max="6" width="18" customWidth="1"/>
    <col min="8" max="8" width="11" customWidth="1"/>
  </cols>
  <sheetData>
    <row r="1" spans="1:10" ht="15.75">
      <c r="A1" s="87" t="s">
        <v>244</v>
      </c>
      <c r="B1" s="87"/>
      <c r="C1" s="87"/>
      <c r="D1" s="87"/>
      <c r="E1" s="87"/>
    </row>
    <row r="2" spans="1:10" ht="15.75">
      <c r="A2" s="87" t="s">
        <v>522</v>
      </c>
      <c r="B2" s="87"/>
      <c r="C2" s="87"/>
      <c r="D2" s="87"/>
      <c r="E2" s="87"/>
    </row>
    <row r="3" spans="1:10" ht="15.75">
      <c r="A3" s="69"/>
      <c r="B3" s="70"/>
      <c r="C3" s="70" t="s">
        <v>365</v>
      </c>
      <c r="D3" s="70"/>
      <c r="E3" s="70"/>
    </row>
    <row r="4" spans="1:10">
      <c r="C4" s="10">
        <v>2023</v>
      </c>
      <c r="D4" s="10">
        <v>2023</v>
      </c>
      <c r="E4" s="10">
        <v>2023</v>
      </c>
    </row>
    <row r="5" spans="1:10">
      <c r="C5" s="10" t="s">
        <v>185</v>
      </c>
      <c r="D5" s="10" t="s">
        <v>191</v>
      </c>
      <c r="E5" s="10" t="s">
        <v>194</v>
      </c>
    </row>
    <row r="6" spans="1:10">
      <c r="C6" s="10" t="s">
        <v>186</v>
      </c>
      <c r="D6" s="10" t="s">
        <v>33</v>
      </c>
      <c r="E6" s="10" t="s">
        <v>195</v>
      </c>
    </row>
    <row r="7" spans="1:10">
      <c r="C7" s="37" t="s">
        <v>187</v>
      </c>
      <c r="D7" s="37" t="s">
        <v>187</v>
      </c>
      <c r="E7" s="37" t="s">
        <v>187</v>
      </c>
    </row>
    <row r="8" spans="1:10">
      <c r="A8" s="10">
        <v>1</v>
      </c>
      <c r="B8" s="66" t="s">
        <v>334</v>
      </c>
      <c r="C8" s="15">
        <v>0.22961805555555556</v>
      </c>
      <c r="D8" s="71">
        <v>0.10829999999999999</v>
      </c>
      <c r="E8" s="15">
        <f t="shared" ref="E8:E39" si="0">C8+D8</f>
        <v>0.33791805555555554</v>
      </c>
      <c r="F8" s="16"/>
      <c r="H8" s="16"/>
      <c r="J8" s="16"/>
    </row>
    <row r="9" spans="1:10">
      <c r="A9" s="10">
        <v>2</v>
      </c>
      <c r="B9" s="66" t="s">
        <v>18</v>
      </c>
      <c r="C9" s="15">
        <v>0.21341194444444447</v>
      </c>
      <c r="D9" s="71">
        <f t="shared" ref="D9:D40" si="1">D8</f>
        <v>0.10829999999999999</v>
      </c>
      <c r="E9" s="15">
        <f t="shared" si="0"/>
        <v>0.32171194444444445</v>
      </c>
      <c r="F9" s="16"/>
      <c r="H9" s="16"/>
      <c r="J9" s="16"/>
    </row>
    <row r="10" spans="1:10">
      <c r="A10" s="10">
        <v>3</v>
      </c>
      <c r="B10" s="66" t="s">
        <v>170</v>
      </c>
      <c r="C10" s="15">
        <v>0.21281250000000002</v>
      </c>
      <c r="D10" s="71">
        <f t="shared" si="1"/>
        <v>0.10829999999999999</v>
      </c>
      <c r="E10" s="15">
        <f t="shared" si="0"/>
        <v>0.32111250000000002</v>
      </c>
      <c r="F10" s="16"/>
      <c r="H10" s="16"/>
      <c r="J10" s="16"/>
    </row>
    <row r="11" spans="1:10">
      <c r="A11" s="10">
        <v>4</v>
      </c>
      <c r="B11" s="66" t="s">
        <v>121</v>
      </c>
      <c r="C11" s="15">
        <v>0.20399699074074074</v>
      </c>
      <c r="D11" s="71">
        <f t="shared" si="1"/>
        <v>0.10829999999999999</v>
      </c>
      <c r="E11" s="15">
        <f t="shared" si="0"/>
        <v>0.31229699074074074</v>
      </c>
      <c r="F11" s="16"/>
      <c r="H11" s="16"/>
      <c r="J11" s="16"/>
    </row>
    <row r="12" spans="1:10">
      <c r="A12" s="10">
        <v>5</v>
      </c>
      <c r="B12" s="66" t="s">
        <v>105</v>
      </c>
      <c r="C12" s="15">
        <v>0.2004431216931217</v>
      </c>
      <c r="D12" s="71">
        <f t="shared" si="1"/>
        <v>0.10829999999999999</v>
      </c>
      <c r="E12" s="15">
        <f t="shared" si="0"/>
        <v>0.30874312169312168</v>
      </c>
      <c r="F12" s="16"/>
      <c r="H12" s="16"/>
      <c r="J12" s="16"/>
    </row>
    <row r="13" spans="1:10">
      <c r="A13" s="10">
        <v>6</v>
      </c>
      <c r="B13" s="66" t="s">
        <v>64</v>
      </c>
      <c r="C13" s="15">
        <v>0.18080896666666665</v>
      </c>
      <c r="D13" s="71">
        <f t="shared" si="1"/>
        <v>0.10829999999999999</v>
      </c>
      <c r="E13" s="15">
        <f t="shared" si="0"/>
        <v>0.28910896666666663</v>
      </c>
      <c r="F13" s="16"/>
      <c r="H13" s="16"/>
      <c r="J13" s="16"/>
    </row>
    <row r="14" spans="1:10">
      <c r="A14" s="10">
        <v>7</v>
      </c>
      <c r="B14" s="66" t="s">
        <v>188</v>
      </c>
      <c r="C14" s="15">
        <v>0.17418370370370367</v>
      </c>
      <c r="D14" s="71">
        <f t="shared" si="1"/>
        <v>0.10829999999999999</v>
      </c>
      <c r="E14" s="15">
        <f t="shared" si="0"/>
        <v>0.28248370370370368</v>
      </c>
      <c r="F14" s="16"/>
      <c r="H14" s="16"/>
      <c r="J14" s="16"/>
    </row>
    <row r="15" spans="1:10">
      <c r="A15" s="10">
        <v>8</v>
      </c>
      <c r="B15" s="66" t="s">
        <v>143</v>
      </c>
      <c r="C15" s="15">
        <v>0.16774305555555555</v>
      </c>
      <c r="D15" s="71">
        <f t="shared" si="1"/>
        <v>0.10829999999999999</v>
      </c>
      <c r="E15" s="15">
        <f t="shared" si="0"/>
        <v>0.27604305555555553</v>
      </c>
      <c r="F15" s="16"/>
      <c r="H15" s="16"/>
      <c r="J15" s="16"/>
    </row>
    <row r="16" spans="1:10">
      <c r="A16" s="10">
        <v>9</v>
      </c>
      <c r="B16" s="66" t="s">
        <v>164</v>
      </c>
      <c r="C16" s="15">
        <v>0.16324074074074074</v>
      </c>
      <c r="D16" s="71">
        <f t="shared" si="1"/>
        <v>0.10829999999999999</v>
      </c>
      <c r="E16" s="15">
        <f t="shared" si="0"/>
        <v>0.27154074074074075</v>
      </c>
      <c r="F16" s="16"/>
      <c r="H16" s="16"/>
      <c r="J16" s="16"/>
    </row>
    <row r="17" spans="1:11">
      <c r="A17" s="10">
        <v>10</v>
      </c>
      <c r="B17" s="66" t="s">
        <v>138</v>
      </c>
      <c r="C17" s="15">
        <v>0.16094148148148149</v>
      </c>
      <c r="D17" s="71">
        <f t="shared" si="1"/>
        <v>0.10829999999999999</v>
      </c>
      <c r="E17" s="15">
        <f t="shared" si="0"/>
        <v>0.26924148148148147</v>
      </c>
      <c r="F17" s="16"/>
      <c r="H17" s="16"/>
      <c r="J17" s="16"/>
    </row>
    <row r="18" spans="1:11">
      <c r="A18" s="10">
        <v>11</v>
      </c>
      <c r="B18" s="66" t="s">
        <v>82</v>
      </c>
      <c r="C18" s="15">
        <v>0.15910300925925927</v>
      </c>
      <c r="D18" s="71">
        <f t="shared" si="1"/>
        <v>0.10829999999999999</v>
      </c>
      <c r="E18" s="15">
        <f t="shared" si="0"/>
        <v>0.26740300925925925</v>
      </c>
      <c r="F18" s="16"/>
      <c r="H18" s="16"/>
      <c r="J18" s="16"/>
    </row>
    <row r="19" spans="1:11">
      <c r="A19" s="10">
        <v>12</v>
      </c>
      <c r="B19" s="66" t="s">
        <v>133</v>
      </c>
      <c r="C19" s="15">
        <v>0.15623842592592593</v>
      </c>
      <c r="D19" s="71">
        <f t="shared" si="1"/>
        <v>0.10829999999999999</v>
      </c>
      <c r="E19" s="15">
        <f t="shared" si="0"/>
        <v>0.26453842592592591</v>
      </c>
      <c r="F19" s="16"/>
      <c r="H19" s="16"/>
      <c r="J19" s="16"/>
    </row>
    <row r="20" spans="1:11">
      <c r="A20" s="10">
        <v>13</v>
      </c>
      <c r="B20" s="66" t="s">
        <v>144</v>
      </c>
      <c r="C20" s="15">
        <v>0.15616898148148151</v>
      </c>
      <c r="D20" s="71">
        <f t="shared" si="1"/>
        <v>0.10829999999999999</v>
      </c>
      <c r="E20" s="15">
        <f t="shared" si="0"/>
        <v>0.26446898148148151</v>
      </c>
      <c r="F20" s="16"/>
      <c r="H20" s="16"/>
      <c r="J20" s="16"/>
      <c r="K20" s="36"/>
    </row>
    <row r="21" spans="1:11">
      <c r="A21" s="10">
        <v>14</v>
      </c>
      <c r="B21" s="66" t="s">
        <v>42</v>
      </c>
      <c r="C21" s="15">
        <v>0.15057407407407408</v>
      </c>
      <c r="D21" s="71">
        <f t="shared" si="1"/>
        <v>0.10829999999999999</v>
      </c>
      <c r="E21" s="15">
        <f t="shared" si="0"/>
        <v>0.25887407407407409</v>
      </c>
      <c r="F21" s="16"/>
      <c r="H21" s="16"/>
      <c r="J21" s="16"/>
    </row>
    <row r="22" spans="1:11">
      <c r="A22" s="10">
        <v>15</v>
      </c>
      <c r="B22" s="66" t="s">
        <v>96</v>
      </c>
      <c r="C22" s="15">
        <v>0.14912500000000001</v>
      </c>
      <c r="D22" s="71">
        <f t="shared" si="1"/>
        <v>0.10829999999999999</v>
      </c>
      <c r="E22" s="15">
        <f t="shared" si="0"/>
        <v>0.25742500000000001</v>
      </c>
      <c r="F22" s="16"/>
      <c r="H22" s="16"/>
      <c r="J22" s="16"/>
    </row>
    <row r="23" spans="1:11">
      <c r="A23" s="10">
        <v>16</v>
      </c>
      <c r="B23" s="66" t="s">
        <v>9</v>
      </c>
      <c r="C23" s="15">
        <v>0.14461296296296294</v>
      </c>
      <c r="D23" s="71">
        <f t="shared" si="1"/>
        <v>0.10829999999999999</v>
      </c>
      <c r="E23" s="15">
        <f t="shared" si="0"/>
        <v>0.25291296296296295</v>
      </c>
      <c r="F23" s="16"/>
      <c r="H23" s="16"/>
      <c r="J23" s="16"/>
    </row>
    <row r="24" spans="1:11">
      <c r="A24" s="10">
        <v>17</v>
      </c>
      <c r="B24" s="66" t="s">
        <v>151</v>
      </c>
      <c r="C24" s="15">
        <v>0.14345275925925929</v>
      </c>
      <c r="D24" s="71">
        <f t="shared" si="1"/>
        <v>0.10829999999999999</v>
      </c>
      <c r="E24" s="15">
        <f t="shared" si="0"/>
        <v>0.25175275925925927</v>
      </c>
      <c r="F24" s="16"/>
      <c r="H24" s="16"/>
      <c r="J24" s="16"/>
    </row>
    <row r="25" spans="1:11">
      <c r="A25" s="10">
        <v>18</v>
      </c>
      <c r="B25" s="66" t="s">
        <v>155</v>
      </c>
      <c r="C25" s="15">
        <v>0.13840277777777776</v>
      </c>
      <c r="D25" s="71">
        <f t="shared" si="1"/>
        <v>0.10829999999999999</v>
      </c>
      <c r="E25" s="15">
        <f t="shared" si="0"/>
        <v>0.24670277777777777</v>
      </c>
      <c r="F25" s="16"/>
      <c r="H25" s="16"/>
      <c r="J25" s="16"/>
    </row>
    <row r="26" spans="1:11">
      <c r="A26" s="10">
        <v>19</v>
      </c>
      <c r="B26" s="51" t="s">
        <v>251</v>
      </c>
      <c r="C26" s="15">
        <v>0.13821069259259261</v>
      </c>
      <c r="D26" s="71">
        <f t="shared" si="1"/>
        <v>0.10829999999999999</v>
      </c>
      <c r="E26" s="15">
        <f t="shared" si="0"/>
        <v>0.24651069259259262</v>
      </c>
      <c r="F26" s="16"/>
      <c r="H26" s="16"/>
      <c r="J26" s="16"/>
      <c r="K26" s="36"/>
    </row>
    <row r="27" spans="1:11">
      <c r="A27" s="10">
        <v>20</v>
      </c>
      <c r="B27" s="66" t="s">
        <v>29</v>
      </c>
      <c r="C27" s="15">
        <v>0.13423108333333333</v>
      </c>
      <c r="D27" s="71">
        <f t="shared" si="1"/>
        <v>0.10829999999999999</v>
      </c>
      <c r="E27" s="15">
        <f t="shared" si="0"/>
        <v>0.24253108333333334</v>
      </c>
      <c r="F27" s="16"/>
      <c r="H27" s="16"/>
      <c r="J27" s="16"/>
    </row>
    <row r="28" spans="1:11">
      <c r="A28" s="10">
        <v>21</v>
      </c>
      <c r="B28" s="66" t="s">
        <v>148</v>
      </c>
      <c r="C28" s="15">
        <v>0.13060217037037036</v>
      </c>
      <c r="D28" s="71">
        <f t="shared" si="1"/>
        <v>0.10829999999999999</v>
      </c>
      <c r="E28" s="15">
        <f t="shared" si="0"/>
        <v>0.23890217037037037</v>
      </c>
      <c r="F28" s="16"/>
      <c r="H28" s="16"/>
      <c r="J28" s="16"/>
    </row>
    <row r="29" spans="1:11">
      <c r="A29" s="10">
        <v>22</v>
      </c>
      <c r="B29" s="66" t="s">
        <v>45</v>
      </c>
      <c r="C29" s="15">
        <v>0.12897858796296297</v>
      </c>
      <c r="D29" s="71">
        <f t="shared" si="1"/>
        <v>0.10829999999999999</v>
      </c>
      <c r="E29" s="15">
        <f t="shared" si="0"/>
        <v>0.23727858796296297</v>
      </c>
      <c r="F29" s="16"/>
      <c r="H29" s="16"/>
      <c r="J29" s="16"/>
    </row>
    <row r="30" spans="1:11">
      <c r="A30" s="10">
        <v>23</v>
      </c>
      <c r="B30" s="66" t="s">
        <v>24</v>
      </c>
      <c r="C30" s="15">
        <v>0.12783092592592593</v>
      </c>
      <c r="D30" s="71">
        <f t="shared" si="1"/>
        <v>0.10829999999999999</v>
      </c>
      <c r="E30" s="15">
        <f t="shared" si="0"/>
        <v>0.23613092592592594</v>
      </c>
      <c r="F30" s="16"/>
      <c r="H30" s="16"/>
      <c r="J30" s="16"/>
    </row>
    <row r="31" spans="1:11">
      <c r="A31" s="10">
        <v>24</v>
      </c>
      <c r="B31" s="66" t="s">
        <v>13</v>
      </c>
      <c r="C31" s="15">
        <v>0.12678703703703703</v>
      </c>
      <c r="D31" s="71">
        <f t="shared" si="1"/>
        <v>0.10829999999999999</v>
      </c>
      <c r="E31" s="15">
        <f t="shared" si="0"/>
        <v>0.23508703703703704</v>
      </c>
      <c r="F31" s="16"/>
      <c r="H31" s="16"/>
      <c r="J31" s="16"/>
    </row>
    <row r="32" spans="1:11">
      <c r="A32" s="10">
        <v>25</v>
      </c>
      <c r="B32" s="66" t="s">
        <v>117</v>
      </c>
      <c r="C32" s="15">
        <v>0.12396227407407408</v>
      </c>
      <c r="D32" s="71">
        <f t="shared" si="1"/>
        <v>0.10829999999999999</v>
      </c>
      <c r="E32" s="15">
        <f t="shared" si="0"/>
        <v>0.23226227407407407</v>
      </c>
      <c r="F32" s="16"/>
      <c r="H32" s="16"/>
      <c r="J32" s="16"/>
    </row>
    <row r="33" spans="1:10">
      <c r="A33" s="10">
        <v>26</v>
      </c>
      <c r="B33" s="66" t="s">
        <v>40</v>
      </c>
      <c r="C33" s="15">
        <v>0.12199074074074075</v>
      </c>
      <c r="D33" s="71">
        <f t="shared" si="1"/>
        <v>0.10829999999999999</v>
      </c>
      <c r="E33" s="15">
        <f t="shared" si="0"/>
        <v>0.23029074074074074</v>
      </c>
      <c r="F33" s="16"/>
      <c r="H33" s="16"/>
      <c r="J33" s="16"/>
    </row>
    <row r="34" spans="1:10">
      <c r="A34" s="10">
        <v>27</v>
      </c>
      <c r="B34" s="66" t="s">
        <v>174</v>
      </c>
      <c r="C34" s="15">
        <v>0.11603009259259259</v>
      </c>
      <c r="D34" s="71">
        <f t="shared" si="1"/>
        <v>0.10829999999999999</v>
      </c>
      <c r="E34" s="15">
        <f t="shared" si="0"/>
        <v>0.22433009259259257</v>
      </c>
      <c r="F34" s="16"/>
      <c r="H34" s="16"/>
      <c r="J34" s="16"/>
    </row>
    <row r="35" spans="1:10">
      <c r="A35" s="10">
        <v>28</v>
      </c>
      <c r="B35" s="66" t="s">
        <v>73</v>
      </c>
      <c r="C35" s="15">
        <v>0.11696527777777778</v>
      </c>
      <c r="D35" s="71">
        <f t="shared" si="1"/>
        <v>0.10829999999999999</v>
      </c>
      <c r="E35" s="15">
        <f t="shared" si="0"/>
        <v>0.22526527777777777</v>
      </c>
      <c r="F35" s="16"/>
      <c r="H35" s="16"/>
      <c r="J35" s="16"/>
    </row>
    <row r="36" spans="1:10">
      <c r="A36" s="10">
        <v>29</v>
      </c>
      <c r="B36" s="66" t="s">
        <v>57</v>
      </c>
      <c r="C36" s="15">
        <v>0.1146526608888889</v>
      </c>
      <c r="D36" s="71">
        <f t="shared" si="1"/>
        <v>0.10829999999999999</v>
      </c>
      <c r="E36" s="15">
        <f t="shared" si="0"/>
        <v>0.22295266088888888</v>
      </c>
      <c r="F36" s="16"/>
      <c r="H36" s="16"/>
      <c r="J36" s="16"/>
    </row>
    <row r="37" spans="1:10">
      <c r="A37" s="10">
        <v>30</v>
      </c>
      <c r="B37" s="66" t="s">
        <v>4</v>
      </c>
      <c r="C37" s="15">
        <v>0.11381944444444445</v>
      </c>
      <c r="D37" s="71">
        <f t="shared" si="1"/>
        <v>0.10829999999999999</v>
      </c>
      <c r="E37" s="15">
        <f t="shared" si="0"/>
        <v>0.22211944444444442</v>
      </c>
      <c r="F37" s="16"/>
      <c r="H37" s="16"/>
      <c r="J37" s="16"/>
    </row>
    <row r="38" spans="1:10">
      <c r="A38" s="10">
        <v>31</v>
      </c>
      <c r="B38" s="66" t="s">
        <v>66</v>
      </c>
      <c r="C38" s="15">
        <v>0.11085879629629627</v>
      </c>
      <c r="D38" s="71">
        <f t="shared" si="1"/>
        <v>0.10829999999999999</v>
      </c>
      <c r="E38" s="15">
        <f t="shared" si="0"/>
        <v>0.21915879629629625</v>
      </c>
      <c r="F38" s="16"/>
      <c r="H38" s="16"/>
      <c r="J38" s="16"/>
    </row>
    <row r="39" spans="1:10">
      <c r="A39" s="10">
        <v>32</v>
      </c>
      <c r="B39" s="66" t="s">
        <v>86</v>
      </c>
      <c r="C39" s="15">
        <v>0.10590277777777778</v>
      </c>
      <c r="D39" s="71">
        <f t="shared" si="1"/>
        <v>0.10829999999999999</v>
      </c>
      <c r="E39" s="15">
        <f t="shared" si="0"/>
        <v>0.21420277777777777</v>
      </c>
      <c r="F39" s="16"/>
      <c r="H39" s="16"/>
      <c r="J39" s="16"/>
    </row>
    <row r="40" spans="1:10">
      <c r="A40" s="10">
        <v>33</v>
      </c>
      <c r="B40" s="66" t="s">
        <v>92</v>
      </c>
      <c r="C40" s="15">
        <v>0.10380555555555557</v>
      </c>
      <c r="D40" s="71">
        <f t="shared" si="1"/>
        <v>0.10829999999999999</v>
      </c>
      <c r="E40" s="15">
        <f t="shared" ref="E40:E59" si="2">C40+D40</f>
        <v>0.21210555555555555</v>
      </c>
      <c r="F40" s="16"/>
      <c r="H40" s="16"/>
      <c r="J40" s="16"/>
    </row>
    <row r="41" spans="1:10">
      <c r="A41" s="10">
        <v>34</v>
      </c>
      <c r="B41" s="66" t="s">
        <v>95</v>
      </c>
      <c r="C41" s="15">
        <v>0.10038194444444445</v>
      </c>
      <c r="D41" s="71">
        <f t="shared" ref="D41:D59" si="3">D40</f>
        <v>0.10829999999999999</v>
      </c>
      <c r="E41" s="15">
        <f t="shared" si="2"/>
        <v>0.20868194444444443</v>
      </c>
      <c r="F41" s="16"/>
      <c r="H41" s="16"/>
      <c r="J41" s="16"/>
    </row>
    <row r="42" spans="1:10">
      <c r="A42" s="10">
        <v>35</v>
      </c>
      <c r="B42" s="66" t="s">
        <v>60</v>
      </c>
      <c r="C42" s="15">
        <v>9.9803240740740734E-2</v>
      </c>
      <c r="D42" s="71">
        <f t="shared" si="3"/>
        <v>0.10829999999999999</v>
      </c>
      <c r="E42" s="15">
        <f t="shared" si="2"/>
        <v>0.20810324074074071</v>
      </c>
      <c r="F42" s="16"/>
      <c r="H42" s="16"/>
      <c r="J42" s="16"/>
    </row>
    <row r="43" spans="1:10" ht="15" customHeight="1">
      <c r="A43" s="10">
        <v>36</v>
      </c>
      <c r="B43" s="66" t="s">
        <v>89</v>
      </c>
      <c r="C43" s="15">
        <v>9.9351851851851858E-2</v>
      </c>
      <c r="D43" s="71">
        <f t="shared" si="3"/>
        <v>0.10829999999999999</v>
      </c>
      <c r="E43" s="15">
        <f t="shared" si="2"/>
        <v>0.20765185185185187</v>
      </c>
      <c r="F43" s="16"/>
      <c r="H43" s="16"/>
      <c r="J43" s="16"/>
    </row>
    <row r="44" spans="1:10">
      <c r="A44" s="10">
        <v>37</v>
      </c>
      <c r="B44" s="66" t="s">
        <v>178</v>
      </c>
      <c r="C44" s="15">
        <v>9.2325796296296309E-2</v>
      </c>
      <c r="D44" s="71">
        <f t="shared" si="3"/>
        <v>0.10829999999999999</v>
      </c>
      <c r="E44" s="15">
        <f t="shared" si="2"/>
        <v>0.20062579629629629</v>
      </c>
      <c r="F44" s="16"/>
      <c r="H44" s="16"/>
      <c r="J44" s="16"/>
    </row>
    <row r="45" spans="1:10">
      <c r="A45" s="10">
        <v>38</v>
      </c>
      <c r="B45" s="66" t="s">
        <v>116</v>
      </c>
      <c r="C45" s="15">
        <v>9.2291666666666661E-2</v>
      </c>
      <c r="D45" s="71">
        <f t="shared" si="3"/>
        <v>0.10829999999999999</v>
      </c>
      <c r="E45" s="15">
        <f t="shared" si="2"/>
        <v>0.20059166666666667</v>
      </c>
      <c r="F45" s="16"/>
      <c r="H45" s="16"/>
      <c r="J45" s="16"/>
    </row>
    <row r="46" spans="1:10">
      <c r="A46" s="10">
        <v>39</v>
      </c>
      <c r="B46" s="66" t="s">
        <v>76</v>
      </c>
      <c r="C46" s="15">
        <v>9.182870370370369E-2</v>
      </c>
      <c r="D46" s="71">
        <f t="shared" si="3"/>
        <v>0.10829999999999999</v>
      </c>
      <c r="E46" s="15">
        <f t="shared" si="2"/>
        <v>0.20012870370370367</v>
      </c>
      <c r="F46" s="16"/>
      <c r="H46" s="16"/>
      <c r="J46" s="16"/>
    </row>
    <row r="47" spans="1:10">
      <c r="A47" s="10">
        <v>40</v>
      </c>
      <c r="B47" s="66" t="s">
        <v>114</v>
      </c>
      <c r="C47" s="15">
        <v>9.1701388888888902E-2</v>
      </c>
      <c r="D47" s="71">
        <f t="shared" si="3"/>
        <v>0.10829999999999999</v>
      </c>
      <c r="E47" s="15">
        <f t="shared" si="2"/>
        <v>0.20000138888888891</v>
      </c>
      <c r="F47" s="16"/>
      <c r="H47" s="16"/>
      <c r="J47" s="16"/>
    </row>
    <row r="48" spans="1:10">
      <c r="A48" s="10">
        <v>41</v>
      </c>
      <c r="B48" s="66" t="s">
        <v>131</v>
      </c>
      <c r="C48" s="15">
        <v>9.0543981481481489E-2</v>
      </c>
      <c r="D48" s="71">
        <f t="shared" si="3"/>
        <v>0.10829999999999999</v>
      </c>
      <c r="E48" s="15">
        <f t="shared" si="2"/>
        <v>0.19884398148148147</v>
      </c>
      <c r="F48" s="16"/>
      <c r="H48" s="16"/>
      <c r="J48" s="16"/>
    </row>
    <row r="49" spans="1:10">
      <c r="A49" s="10">
        <v>42</v>
      </c>
      <c r="B49" s="66" t="s">
        <v>189</v>
      </c>
      <c r="C49" s="15">
        <v>8.8999999999999996E-2</v>
      </c>
      <c r="D49" s="71">
        <f t="shared" si="3"/>
        <v>0.10829999999999999</v>
      </c>
      <c r="E49" s="15">
        <f t="shared" si="2"/>
        <v>0.19729999999999998</v>
      </c>
      <c r="F49" s="16"/>
      <c r="H49" s="16"/>
      <c r="J49" s="16"/>
    </row>
    <row r="50" spans="1:10">
      <c r="A50" s="10">
        <v>43</v>
      </c>
      <c r="B50" s="66" t="s">
        <v>135</v>
      </c>
      <c r="C50" s="15">
        <v>8.5828256296296299E-2</v>
      </c>
      <c r="D50" s="71">
        <f t="shared" si="3"/>
        <v>0.10829999999999999</v>
      </c>
      <c r="E50" s="15">
        <f t="shared" si="2"/>
        <v>0.19412825629629629</v>
      </c>
      <c r="F50" s="16"/>
      <c r="H50" s="16"/>
      <c r="J50" s="16"/>
    </row>
    <row r="51" spans="1:10">
      <c r="A51" s="10">
        <v>44</v>
      </c>
      <c r="B51" s="66" t="s">
        <v>34</v>
      </c>
      <c r="C51" s="15">
        <v>8.3085898153329604E-2</v>
      </c>
      <c r="D51" s="71">
        <f t="shared" si="3"/>
        <v>0.10829999999999999</v>
      </c>
      <c r="E51" s="15">
        <f t="shared" si="2"/>
        <v>0.1913858981533296</v>
      </c>
      <c r="F51" s="16"/>
      <c r="H51" s="16"/>
      <c r="J51" s="16"/>
    </row>
    <row r="52" spans="1:10">
      <c r="A52" s="10">
        <v>45</v>
      </c>
      <c r="B52" s="66" t="s">
        <v>175</v>
      </c>
      <c r="C52" s="15">
        <v>7.9756630588888891E-2</v>
      </c>
      <c r="D52" s="71">
        <f t="shared" si="3"/>
        <v>0.10829999999999999</v>
      </c>
      <c r="E52" s="15">
        <f t="shared" si="2"/>
        <v>0.18805663058888888</v>
      </c>
      <c r="F52" s="16"/>
      <c r="H52" s="16"/>
      <c r="J52" s="16"/>
    </row>
    <row r="53" spans="1:10">
      <c r="A53" s="10">
        <v>46</v>
      </c>
      <c r="B53" s="66" t="s">
        <v>48</v>
      </c>
      <c r="C53" s="15">
        <v>7.9519722222222214E-2</v>
      </c>
      <c r="D53" s="71">
        <f t="shared" si="3"/>
        <v>0.10829999999999999</v>
      </c>
      <c r="E53" s="15">
        <f t="shared" si="2"/>
        <v>0.18781972222222221</v>
      </c>
      <c r="F53" s="16"/>
      <c r="H53" s="16"/>
      <c r="J53" s="16"/>
    </row>
    <row r="54" spans="1:10">
      <c r="A54" s="10">
        <v>47</v>
      </c>
      <c r="B54" s="66" t="s">
        <v>168</v>
      </c>
      <c r="C54" s="15">
        <v>7.7199074074074073E-2</v>
      </c>
      <c r="D54" s="71">
        <f t="shared" si="3"/>
        <v>0.10829999999999999</v>
      </c>
      <c r="E54" s="15">
        <f t="shared" si="2"/>
        <v>0.18549907407407407</v>
      </c>
      <c r="F54" s="16"/>
      <c r="H54" s="16"/>
      <c r="J54" s="16"/>
    </row>
    <row r="55" spans="1:10">
      <c r="A55" s="10">
        <v>48</v>
      </c>
      <c r="B55" s="66" t="s">
        <v>139</v>
      </c>
      <c r="C55" s="15">
        <v>7.4777037037037031E-2</v>
      </c>
      <c r="D55" s="71">
        <f t="shared" si="3"/>
        <v>0.10829999999999999</v>
      </c>
      <c r="E55" s="15">
        <f t="shared" si="2"/>
        <v>0.18307703703703704</v>
      </c>
      <c r="F55" s="16"/>
      <c r="H55" s="16"/>
      <c r="J55" s="16"/>
    </row>
    <row r="56" spans="1:10">
      <c r="A56" s="10">
        <v>49</v>
      </c>
      <c r="B56" s="66" t="s">
        <v>99</v>
      </c>
      <c r="C56" s="15">
        <v>6.9328703703703698E-2</v>
      </c>
      <c r="D56" s="71">
        <f t="shared" si="3"/>
        <v>0.10829999999999999</v>
      </c>
      <c r="E56" s="15">
        <f t="shared" si="2"/>
        <v>0.17762870370370371</v>
      </c>
      <c r="F56" s="16"/>
      <c r="H56" s="16"/>
      <c r="J56" s="16"/>
    </row>
    <row r="57" spans="1:10">
      <c r="A57" s="10">
        <v>50</v>
      </c>
      <c r="B57" s="66" t="s">
        <v>35</v>
      </c>
      <c r="C57" s="15">
        <v>6.7939814814814814E-2</v>
      </c>
      <c r="D57" s="71">
        <f t="shared" si="3"/>
        <v>0.10829999999999999</v>
      </c>
      <c r="E57" s="15">
        <f t="shared" si="2"/>
        <v>0.17623981481481482</v>
      </c>
      <c r="F57" s="16"/>
      <c r="H57" s="16"/>
      <c r="J57" s="16"/>
    </row>
    <row r="58" spans="1:10">
      <c r="A58" s="10">
        <v>51</v>
      </c>
      <c r="B58" s="66" t="s">
        <v>109</v>
      </c>
      <c r="C58" s="15">
        <v>5.0749711111111102E-2</v>
      </c>
      <c r="D58" s="71">
        <f t="shared" si="3"/>
        <v>0.10829999999999999</v>
      </c>
      <c r="E58" s="15">
        <f t="shared" si="2"/>
        <v>0.1590497111111111</v>
      </c>
      <c r="F58" s="16"/>
      <c r="H58" s="16"/>
      <c r="J58" s="16"/>
    </row>
    <row r="59" spans="1:10">
      <c r="A59" s="10">
        <v>52</v>
      </c>
      <c r="B59" s="66" t="s">
        <v>52</v>
      </c>
      <c r="C59" s="15">
        <v>2.8935185185185182E-2</v>
      </c>
      <c r="D59" s="71">
        <f t="shared" si="3"/>
        <v>0.10829999999999999</v>
      </c>
      <c r="E59" s="15">
        <f t="shared" si="2"/>
        <v>0.13723518518518518</v>
      </c>
      <c r="F59" s="16"/>
      <c r="H59" s="16"/>
      <c r="J59" s="16"/>
    </row>
    <row r="60" spans="1:10">
      <c r="D60" s="71"/>
    </row>
    <row r="61" spans="1:10">
      <c r="B61" t="s">
        <v>192</v>
      </c>
      <c r="C61" s="15">
        <v>0.13700000000000001</v>
      </c>
      <c r="D61" s="15">
        <f>D59</f>
        <v>0.10829999999999999</v>
      </c>
      <c r="E61" s="15">
        <f>C61+D61</f>
        <v>0.24530000000000002</v>
      </c>
    </row>
    <row r="62" spans="1:10">
      <c r="B62" s="17"/>
      <c r="C62" s="18"/>
      <c r="D62" s="18"/>
      <c r="E62" s="18"/>
    </row>
    <row r="63" spans="1:10">
      <c r="B63" t="s">
        <v>193</v>
      </c>
      <c r="C63" s="15">
        <f>SUM(C8:C59)/52</f>
        <v>0.12430490915295882</v>
      </c>
      <c r="D63" s="15">
        <f>D61</f>
        <v>0.10829999999999999</v>
      </c>
      <c r="E63" s="15">
        <f>C63+D63</f>
        <v>0.23260490915295881</v>
      </c>
    </row>
    <row r="65" spans="1:1" ht="15" customHeight="1">
      <c r="A65" t="s">
        <v>392</v>
      </c>
    </row>
    <row r="66" spans="1:1" ht="15" customHeight="1">
      <c r="A66" t="s">
        <v>515</v>
      </c>
    </row>
  </sheetData>
  <sortState xmlns:xlrd2="http://schemas.microsoft.com/office/spreadsheetml/2017/richdata2" ref="B8:E59">
    <sortCondition descending="1" ref="C8:C59"/>
  </sortState>
  <mergeCells count="2">
    <mergeCell ref="A1:E1"/>
    <mergeCell ref="A2:E2"/>
  </mergeCells>
  <printOptions gridLines="1"/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64"/>
  <sheetViews>
    <sheetView topLeftCell="A48" workbookViewId="0">
      <selection activeCell="D68" sqref="D68"/>
    </sheetView>
  </sheetViews>
  <sheetFormatPr defaultColWidth="8.85546875" defaultRowHeight="15"/>
  <cols>
    <col min="1" max="1" width="28" customWidth="1"/>
    <col min="2" max="3" width="12.42578125" style="10" customWidth="1"/>
    <col min="4" max="4" width="18.42578125" style="10" customWidth="1"/>
    <col min="5" max="5" width="13.85546875" customWidth="1"/>
    <col min="6" max="7" width="9.5703125" customWidth="1"/>
    <col min="8" max="8" width="15.28515625" customWidth="1"/>
    <col min="9" max="9" width="16" customWidth="1"/>
  </cols>
  <sheetData>
    <row r="1" spans="1:9" ht="15.75">
      <c r="A1" s="87" t="s">
        <v>226</v>
      </c>
      <c r="B1" s="87"/>
      <c r="C1" s="87"/>
      <c r="D1" s="87"/>
      <c r="E1" s="87"/>
    </row>
    <row r="2" spans="1:9" ht="15.75">
      <c r="A2" s="87" t="s">
        <v>504</v>
      </c>
      <c r="B2" s="87"/>
      <c r="C2" s="87"/>
      <c r="D2" s="87"/>
      <c r="E2" s="87"/>
    </row>
    <row r="5" spans="1:9">
      <c r="B5" s="10" t="s">
        <v>186</v>
      </c>
      <c r="C5" s="10" t="s">
        <v>186</v>
      </c>
      <c r="D5" s="10" t="s">
        <v>190</v>
      </c>
    </row>
    <row r="6" spans="1:9">
      <c r="B6" s="10" t="s">
        <v>225</v>
      </c>
      <c r="C6" s="10" t="s">
        <v>190</v>
      </c>
      <c r="D6" s="10" t="s">
        <v>260</v>
      </c>
      <c r="E6" s="10" t="s">
        <v>267</v>
      </c>
    </row>
    <row r="7" spans="1:9">
      <c r="B7" s="37" t="s">
        <v>224</v>
      </c>
      <c r="C7" s="37" t="s">
        <v>224</v>
      </c>
      <c r="D7" s="37" t="s">
        <v>184</v>
      </c>
      <c r="E7" s="37" t="s">
        <v>269</v>
      </c>
    </row>
    <row r="8" spans="1:9">
      <c r="A8" t="s">
        <v>54</v>
      </c>
      <c r="B8" s="15">
        <v>0.1</v>
      </c>
      <c r="C8" s="15">
        <v>0.22961805555555556</v>
      </c>
      <c r="D8" s="15">
        <f t="shared" ref="D8:D39" si="0">C8-B8</f>
        <v>0.12961805555555556</v>
      </c>
      <c r="E8" s="19">
        <f t="shared" ref="E8:E16" si="1">C8/B8</f>
        <v>2.2961805555555554</v>
      </c>
      <c r="F8" s="16"/>
      <c r="G8" s="16"/>
      <c r="H8" s="52"/>
      <c r="I8" s="15"/>
    </row>
    <row r="9" spans="1:9">
      <c r="A9" t="s">
        <v>105</v>
      </c>
      <c r="B9" s="15">
        <v>7.1249999999999994E-2</v>
      </c>
      <c r="C9" s="15">
        <v>0.2004431216931217</v>
      </c>
      <c r="D9" s="15">
        <f t="shared" si="0"/>
        <v>0.12919312169312169</v>
      </c>
      <c r="E9" s="19">
        <f t="shared" si="1"/>
        <v>2.8132367956929363</v>
      </c>
      <c r="F9" s="16"/>
      <c r="G9" s="16"/>
      <c r="H9" s="51"/>
      <c r="I9" s="15"/>
    </row>
    <row r="10" spans="1:9">
      <c r="A10" t="s">
        <v>18</v>
      </c>
      <c r="B10" s="15">
        <v>9.1899999999999996E-2</v>
      </c>
      <c r="C10" s="15">
        <v>0.21341194444444447</v>
      </c>
      <c r="D10" s="15">
        <f t="shared" si="0"/>
        <v>0.12151194444444448</v>
      </c>
      <c r="E10" s="19">
        <f t="shared" si="1"/>
        <v>2.3222191996131065</v>
      </c>
      <c r="F10" s="16"/>
      <c r="G10" s="16"/>
      <c r="H10" s="51"/>
      <c r="I10" s="15"/>
    </row>
    <row r="11" spans="1:9">
      <c r="A11" t="s">
        <v>9</v>
      </c>
      <c r="B11" s="15">
        <v>2.5000000000000001E-2</v>
      </c>
      <c r="C11" s="15">
        <v>0.14461296296296294</v>
      </c>
      <c r="D11" s="15">
        <f t="shared" si="0"/>
        <v>0.11961296296296295</v>
      </c>
      <c r="E11" s="19">
        <f t="shared" si="1"/>
        <v>5.7845185185185173</v>
      </c>
      <c r="F11" s="16"/>
      <c r="G11" s="16"/>
      <c r="H11" s="51"/>
      <c r="I11" s="15"/>
    </row>
    <row r="12" spans="1:9">
      <c r="A12" t="s">
        <v>121</v>
      </c>
      <c r="B12" s="15">
        <v>8.4400000000000003E-2</v>
      </c>
      <c r="C12" s="15">
        <v>0.20399699074074074</v>
      </c>
      <c r="D12" s="15">
        <f t="shared" si="0"/>
        <v>0.11959699074074073</v>
      </c>
      <c r="E12" s="19">
        <f t="shared" si="1"/>
        <v>2.4170259566438475</v>
      </c>
      <c r="F12" s="16"/>
      <c r="G12" s="16"/>
      <c r="H12" s="51"/>
      <c r="I12" s="15"/>
    </row>
    <row r="13" spans="1:9">
      <c r="A13" t="s">
        <v>170</v>
      </c>
      <c r="B13" s="15">
        <v>9.8799999999999999E-2</v>
      </c>
      <c r="C13" s="15">
        <v>0.21281250000000002</v>
      </c>
      <c r="D13" s="15">
        <f t="shared" si="0"/>
        <v>0.11401250000000002</v>
      </c>
      <c r="E13" s="19">
        <f t="shared" si="1"/>
        <v>2.1539726720647776</v>
      </c>
      <c r="F13" s="16"/>
      <c r="G13" s="16"/>
      <c r="H13" s="52"/>
      <c r="I13" s="15"/>
    </row>
    <row r="14" spans="1:9">
      <c r="A14" t="s">
        <v>82</v>
      </c>
      <c r="B14" s="15">
        <v>0.06</v>
      </c>
      <c r="C14" s="15">
        <v>0.15910300925925927</v>
      </c>
      <c r="D14" s="15">
        <f t="shared" si="0"/>
        <v>9.9103009259259273E-2</v>
      </c>
      <c r="E14" s="19">
        <f t="shared" si="1"/>
        <v>2.6517168209876547</v>
      </c>
      <c r="F14" s="16"/>
      <c r="G14" s="16"/>
      <c r="H14" s="51"/>
      <c r="I14" s="15"/>
    </row>
    <row r="15" spans="1:9">
      <c r="A15" t="s">
        <v>143</v>
      </c>
      <c r="B15" s="15">
        <v>7.0000000000000007E-2</v>
      </c>
      <c r="C15" s="15">
        <v>0.16774305555555555</v>
      </c>
      <c r="D15" s="15">
        <f t="shared" si="0"/>
        <v>9.7743055555555541E-2</v>
      </c>
      <c r="E15" s="19">
        <f t="shared" si="1"/>
        <v>2.3963293650793647</v>
      </c>
      <c r="F15" s="16"/>
      <c r="G15" s="16"/>
      <c r="H15" s="51"/>
      <c r="I15" s="15"/>
    </row>
    <row r="16" spans="1:9">
      <c r="A16" t="s">
        <v>64</v>
      </c>
      <c r="B16" s="15">
        <v>8.3249999999999991E-2</v>
      </c>
      <c r="C16" s="15">
        <v>0.18080896666666665</v>
      </c>
      <c r="D16" s="15">
        <f t="shared" si="0"/>
        <v>9.7558966666666663E-2</v>
      </c>
      <c r="E16" s="19">
        <f t="shared" si="1"/>
        <v>2.1718794794794798</v>
      </c>
      <c r="F16" s="16"/>
      <c r="G16" s="16"/>
      <c r="H16" s="51"/>
      <c r="I16" s="15"/>
    </row>
    <row r="17" spans="1:9">
      <c r="A17" t="s">
        <v>114</v>
      </c>
      <c r="B17" s="15">
        <v>0</v>
      </c>
      <c r="C17" s="15">
        <v>9.1701388888888902E-2</v>
      </c>
      <c r="D17" s="15">
        <f t="shared" si="0"/>
        <v>9.1701388888888902E-2</v>
      </c>
      <c r="E17" s="19" t="s">
        <v>268</v>
      </c>
      <c r="F17" s="16"/>
      <c r="G17" s="16"/>
      <c r="H17" s="52"/>
      <c r="I17" s="15"/>
    </row>
    <row r="18" spans="1:9">
      <c r="A18" t="s">
        <v>188</v>
      </c>
      <c r="B18" s="15">
        <v>8.2500000000000004E-2</v>
      </c>
      <c r="C18" s="15">
        <v>0.17418370370370367</v>
      </c>
      <c r="D18" s="15">
        <f t="shared" si="0"/>
        <v>9.168370370370367E-2</v>
      </c>
      <c r="E18" s="19">
        <f t="shared" ref="E18:E24" si="2">C18/B18</f>
        <v>2.1113176206509534</v>
      </c>
      <c r="F18" s="16"/>
      <c r="G18" s="16"/>
      <c r="H18" s="51"/>
      <c r="I18" s="15"/>
    </row>
    <row r="19" spans="1:9">
      <c r="A19" t="s">
        <v>164</v>
      </c>
      <c r="B19" s="15">
        <v>7.4999999999999997E-2</v>
      </c>
      <c r="C19" s="15">
        <v>0.16324074074074074</v>
      </c>
      <c r="D19" s="15">
        <f t="shared" si="0"/>
        <v>8.8240740740740745E-2</v>
      </c>
      <c r="E19" s="19">
        <f t="shared" si="2"/>
        <v>2.1765432098765434</v>
      </c>
      <c r="F19" s="16"/>
      <c r="G19" s="16"/>
      <c r="H19" s="51"/>
      <c r="I19" s="15"/>
    </row>
    <row r="20" spans="1:9">
      <c r="A20" t="s">
        <v>144</v>
      </c>
      <c r="B20" s="15">
        <v>7.0000000000000007E-2</v>
      </c>
      <c r="C20" s="15">
        <v>0.15616898148148151</v>
      </c>
      <c r="D20" s="15">
        <f t="shared" si="0"/>
        <v>8.6168981481481499E-2</v>
      </c>
      <c r="E20" s="19">
        <f t="shared" si="2"/>
        <v>2.2309854497354498</v>
      </c>
      <c r="F20" s="16"/>
      <c r="G20" s="16"/>
      <c r="H20" s="51"/>
      <c r="I20" s="15"/>
    </row>
    <row r="21" spans="1:9">
      <c r="A21" t="s">
        <v>133</v>
      </c>
      <c r="B21" s="15">
        <v>7.2499999999999995E-2</v>
      </c>
      <c r="C21" s="15">
        <v>0.15623842592592593</v>
      </c>
      <c r="D21" s="15">
        <f t="shared" si="0"/>
        <v>8.3738425925925938E-2</v>
      </c>
      <c r="E21" s="19">
        <f t="shared" si="2"/>
        <v>2.1550127713920819</v>
      </c>
      <c r="F21" s="16"/>
      <c r="G21" s="16"/>
      <c r="H21" s="51"/>
      <c r="I21" s="15"/>
    </row>
    <row r="22" spans="1:9">
      <c r="A22" t="s">
        <v>151</v>
      </c>
      <c r="B22" s="15">
        <v>6.2E-2</v>
      </c>
      <c r="C22" s="15">
        <v>0.14345275925925929</v>
      </c>
      <c r="D22" s="15">
        <f t="shared" si="0"/>
        <v>8.1452759259259294E-2</v>
      </c>
      <c r="E22" s="19">
        <f t="shared" si="2"/>
        <v>2.3137541816009564</v>
      </c>
      <c r="F22" s="16"/>
      <c r="G22" s="16"/>
      <c r="H22" s="51"/>
      <c r="I22" s="15"/>
    </row>
    <row r="23" spans="1:9">
      <c r="A23" t="s">
        <v>42</v>
      </c>
      <c r="B23" s="15">
        <v>7.4999999999999997E-2</v>
      </c>
      <c r="C23" s="15">
        <v>0.15057407407407408</v>
      </c>
      <c r="D23" s="15">
        <f t="shared" si="0"/>
        <v>7.5574074074074085E-2</v>
      </c>
      <c r="E23" s="19">
        <f t="shared" si="2"/>
        <v>2.0076543209876547</v>
      </c>
      <c r="F23" s="16"/>
      <c r="G23" s="16"/>
      <c r="H23" s="51"/>
      <c r="I23" s="15"/>
    </row>
    <row r="24" spans="1:9">
      <c r="A24" t="s">
        <v>138</v>
      </c>
      <c r="B24" s="15">
        <v>8.5800000000000001E-2</v>
      </c>
      <c r="C24" s="15">
        <v>0.16094148148148149</v>
      </c>
      <c r="D24" s="15">
        <f t="shared" si="0"/>
        <v>7.514148148148149E-2</v>
      </c>
      <c r="E24" s="19">
        <f t="shared" si="2"/>
        <v>1.8757748424415093</v>
      </c>
      <c r="F24" s="16"/>
      <c r="G24" s="16"/>
      <c r="H24" s="51"/>
      <c r="I24" s="15"/>
    </row>
    <row r="25" spans="1:9">
      <c r="A25" t="s">
        <v>139</v>
      </c>
      <c r="B25" s="15">
        <v>0</v>
      </c>
      <c r="C25" s="15">
        <v>7.4777037037037031E-2</v>
      </c>
      <c r="D25" s="15">
        <f t="shared" si="0"/>
        <v>7.4777037037037031E-2</v>
      </c>
      <c r="E25" s="19" t="s">
        <v>268</v>
      </c>
      <c r="F25" s="16"/>
      <c r="G25" s="16"/>
      <c r="H25" s="51"/>
      <c r="I25" s="15"/>
    </row>
    <row r="26" spans="1:9">
      <c r="A26" t="s">
        <v>99</v>
      </c>
      <c r="B26" s="15">
        <v>0</v>
      </c>
      <c r="C26" s="15">
        <v>6.9328703703703698E-2</v>
      </c>
      <c r="D26" s="15">
        <f t="shared" si="0"/>
        <v>6.9328703703703698E-2</v>
      </c>
      <c r="E26" s="19" t="s">
        <v>268</v>
      </c>
      <c r="F26" s="16"/>
      <c r="G26" s="16"/>
      <c r="H26" s="51"/>
      <c r="I26" s="15"/>
    </row>
    <row r="27" spans="1:9">
      <c r="A27" t="s">
        <v>35</v>
      </c>
      <c r="B27" s="15">
        <v>0</v>
      </c>
      <c r="C27" s="15">
        <v>6.7939814814814814E-2</v>
      </c>
      <c r="D27" s="15">
        <f t="shared" si="0"/>
        <v>6.7939814814814814E-2</v>
      </c>
      <c r="E27" s="19" t="s">
        <v>268</v>
      </c>
      <c r="F27" s="16"/>
      <c r="G27" s="16"/>
      <c r="H27" s="51"/>
      <c r="I27" s="15"/>
    </row>
    <row r="28" spans="1:9">
      <c r="A28" t="s">
        <v>96</v>
      </c>
      <c r="B28" s="15">
        <v>8.4199999999999997E-2</v>
      </c>
      <c r="C28" s="15">
        <v>0.14912500000000001</v>
      </c>
      <c r="D28" s="15">
        <f t="shared" si="0"/>
        <v>6.492500000000001E-2</v>
      </c>
      <c r="E28" s="19">
        <f t="shared" ref="E28:E59" si="3">C28/B28</f>
        <v>1.771080760095012</v>
      </c>
      <c r="F28" s="16"/>
      <c r="G28" s="16"/>
      <c r="H28" s="51"/>
      <c r="I28" s="15"/>
    </row>
    <row r="29" spans="1:9">
      <c r="A29" t="s">
        <v>40</v>
      </c>
      <c r="B29" s="15">
        <v>0.06</v>
      </c>
      <c r="C29" s="15">
        <v>0.12199074074074075</v>
      </c>
      <c r="D29" s="15">
        <f t="shared" si="0"/>
        <v>6.1990740740740749E-2</v>
      </c>
      <c r="E29" s="19">
        <f t="shared" si="3"/>
        <v>2.0331790123456792</v>
      </c>
      <c r="F29" s="16"/>
      <c r="G29" s="16"/>
      <c r="H29" s="52"/>
      <c r="I29" s="15"/>
    </row>
    <row r="30" spans="1:9">
      <c r="A30" t="s">
        <v>66</v>
      </c>
      <c r="B30" s="15">
        <v>0.06</v>
      </c>
      <c r="C30" s="15">
        <v>0.11085879629629627</v>
      </c>
      <c r="D30" s="15">
        <f t="shared" si="0"/>
        <v>5.0858796296296277E-2</v>
      </c>
      <c r="E30" s="19">
        <f t="shared" si="3"/>
        <v>1.8476466049382714</v>
      </c>
      <c r="F30" s="16"/>
      <c r="G30" s="16"/>
      <c r="H30" s="51"/>
      <c r="I30" s="15"/>
    </row>
    <row r="31" spans="1:9">
      <c r="A31" t="s">
        <v>29</v>
      </c>
      <c r="B31" s="15">
        <v>8.5050000000000001E-2</v>
      </c>
      <c r="C31" s="15">
        <v>0.13423108333333333</v>
      </c>
      <c r="D31" s="15">
        <f t="shared" si="0"/>
        <v>4.9181083333333334E-2</v>
      </c>
      <c r="E31" s="19">
        <f t="shared" si="3"/>
        <v>1.5782608269645306</v>
      </c>
      <c r="F31" s="16"/>
      <c r="G31" s="16"/>
      <c r="H31" s="52"/>
      <c r="I31" s="15"/>
    </row>
    <row r="32" spans="1:9">
      <c r="A32" t="s">
        <v>174</v>
      </c>
      <c r="B32" s="15">
        <v>7.0000000000000007E-2</v>
      </c>
      <c r="C32" s="15">
        <v>0.11603009259259259</v>
      </c>
      <c r="D32" s="15">
        <f t="shared" si="0"/>
        <v>4.6030092592592581E-2</v>
      </c>
      <c r="E32" s="19">
        <f t="shared" si="3"/>
        <v>1.6575727513227512</v>
      </c>
      <c r="F32" s="16"/>
      <c r="G32" s="16"/>
      <c r="H32" s="51"/>
      <c r="I32" s="15"/>
    </row>
    <row r="33" spans="1:9">
      <c r="A33" t="s">
        <v>148</v>
      </c>
      <c r="B33" s="15">
        <v>8.5000000000000006E-2</v>
      </c>
      <c r="C33" s="15">
        <v>0.13060217037037036</v>
      </c>
      <c r="D33" s="15">
        <f t="shared" si="0"/>
        <v>4.5602170370370357E-2</v>
      </c>
      <c r="E33" s="19">
        <f t="shared" si="3"/>
        <v>1.5364961220043571</v>
      </c>
      <c r="F33" s="16"/>
      <c r="G33" s="16"/>
      <c r="H33" s="51"/>
      <c r="I33" s="15"/>
    </row>
    <row r="34" spans="1:9">
      <c r="A34" t="s">
        <v>117</v>
      </c>
      <c r="B34" s="15">
        <v>7.9049999999999995E-2</v>
      </c>
      <c r="C34" s="15">
        <v>0.12396227407407408</v>
      </c>
      <c r="D34" s="15">
        <f t="shared" si="0"/>
        <v>4.4912274074074082E-2</v>
      </c>
      <c r="E34" s="19">
        <f t="shared" si="3"/>
        <v>1.5681502096657063</v>
      </c>
      <c r="F34" s="16"/>
      <c r="G34" s="16"/>
      <c r="H34" s="51"/>
      <c r="I34" s="15"/>
    </row>
    <row r="35" spans="1:9">
      <c r="A35" t="s">
        <v>57</v>
      </c>
      <c r="B35" s="15">
        <v>7.0000000000000007E-2</v>
      </c>
      <c r="C35" s="15">
        <v>0.1146526608888889</v>
      </c>
      <c r="D35" s="15">
        <f t="shared" si="0"/>
        <v>4.465266088888889E-2</v>
      </c>
      <c r="E35" s="19">
        <f t="shared" si="3"/>
        <v>1.6378951555555554</v>
      </c>
      <c r="F35" s="16"/>
      <c r="G35" s="16"/>
      <c r="H35" s="51"/>
      <c r="I35" s="15"/>
    </row>
    <row r="36" spans="1:9">
      <c r="A36" t="s">
        <v>45</v>
      </c>
      <c r="B36" s="15">
        <v>8.4500000000000006E-2</v>
      </c>
      <c r="C36" s="15">
        <v>0.12897858796296297</v>
      </c>
      <c r="D36" s="15">
        <f t="shared" si="0"/>
        <v>4.4478587962962959E-2</v>
      </c>
      <c r="E36" s="19">
        <f t="shared" si="3"/>
        <v>1.526373822046899</v>
      </c>
      <c r="F36" s="16"/>
      <c r="G36" s="16"/>
      <c r="H36" s="52"/>
      <c r="I36" s="15"/>
    </row>
    <row r="37" spans="1:9">
      <c r="A37" t="s">
        <v>86</v>
      </c>
      <c r="B37" s="15">
        <v>6.25E-2</v>
      </c>
      <c r="C37" s="15">
        <v>0.10590277777777778</v>
      </c>
      <c r="D37" s="15">
        <f t="shared" si="0"/>
        <v>4.3402777777777776E-2</v>
      </c>
      <c r="E37" s="19">
        <f t="shared" si="3"/>
        <v>1.6944444444444444</v>
      </c>
      <c r="F37" s="16"/>
      <c r="G37" s="16"/>
      <c r="H37" s="51"/>
      <c r="I37" s="15"/>
    </row>
    <row r="38" spans="1:9">
      <c r="A38" t="s">
        <v>155</v>
      </c>
      <c r="B38" s="15">
        <v>9.5000000000000001E-2</v>
      </c>
      <c r="C38" s="15">
        <v>0.13840277777777776</v>
      </c>
      <c r="D38" s="15">
        <f t="shared" si="0"/>
        <v>4.3402777777777762E-2</v>
      </c>
      <c r="E38" s="19">
        <f t="shared" si="3"/>
        <v>1.4568713450292397</v>
      </c>
      <c r="F38" s="16"/>
      <c r="G38" s="16"/>
      <c r="H38" s="51"/>
      <c r="I38" s="15"/>
    </row>
    <row r="39" spans="1:9">
      <c r="A39" t="s">
        <v>13</v>
      </c>
      <c r="B39" s="15">
        <v>8.6499999999999994E-2</v>
      </c>
      <c r="C39" s="15">
        <v>0.12678703703703703</v>
      </c>
      <c r="D39" s="15">
        <f t="shared" si="0"/>
        <v>4.0287037037037038E-2</v>
      </c>
      <c r="E39" s="19">
        <f t="shared" si="3"/>
        <v>1.4657460929137229</v>
      </c>
      <c r="F39" s="16"/>
      <c r="G39" s="16"/>
      <c r="H39" s="51"/>
      <c r="I39" s="15"/>
    </row>
    <row r="40" spans="1:9">
      <c r="A40" t="s">
        <v>89</v>
      </c>
      <c r="B40" s="15">
        <v>0.06</v>
      </c>
      <c r="C40" s="15">
        <v>9.9351851851851858E-2</v>
      </c>
      <c r="D40" s="15">
        <f t="shared" ref="D40:D59" si="4">C40-B40</f>
        <v>3.935185185185186E-2</v>
      </c>
      <c r="E40" s="19">
        <f t="shared" si="3"/>
        <v>1.6558641975308643</v>
      </c>
      <c r="F40" s="16"/>
      <c r="G40" s="16"/>
      <c r="H40" s="51"/>
      <c r="I40" s="15"/>
    </row>
    <row r="41" spans="1:9">
      <c r="A41" t="s">
        <v>178</v>
      </c>
      <c r="B41" s="15">
        <v>5.5E-2</v>
      </c>
      <c r="C41" s="15">
        <v>9.2325796296296309E-2</v>
      </c>
      <c r="D41" s="15">
        <f t="shared" si="4"/>
        <v>3.7325796296296308E-2</v>
      </c>
      <c r="E41" s="19">
        <f t="shared" si="3"/>
        <v>1.6786508417508419</v>
      </c>
      <c r="F41" s="16"/>
      <c r="G41" s="16"/>
      <c r="H41" s="51"/>
      <c r="I41" s="15"/>
    </row>
    <row r="42" spans="1:9">
      <c r="A42" t="s">
        <v>76</v>
      </c>
      <c r="B42" s="15">
        <v>5.5E-2</v>
      </c>
      <c r="C42" s="15">
        <v>9.182870370370369E-2</v>
      </c>
      <c r="D42" s="15">
        <f t="shared" si="4"/>
        <v>3.682870370370369E-2</v>
      </c>
      <c r="E42" s="19">
        <f t="shared" si="3"/>
        <v>1.6696127946127943</v>
      </c>
      <c r="F42" s="16"/>
      <c r="G42" s="16"/>
      <c r="H42" s="52"/>
      <c r="I42" s="15"/>
    </row>
    <row r="43" spans="1:9">
      <c r="A43" t="s">
        <v>24</v>
      </c>
      <c r="B43" s="15">
        <v>9.1249999999999998E-2</v>
      </c>
      <c r="C43" s="15">
        <v>0.12783092592592593</v>
      </c>
      <c r="D43" s="15">
        <f t="shared" si="4"/>
        <v>3.6580925925925933E-2</v>
      </c>
      <c r="E43" s="19">
        <f t="shared" si="3"/>
        <v>1.4008868594622019</v>
      </c>
      <c r="F43" s="16"/>
      <c r="G43" s="16"/>
      <c r="H43" s="51"/>
      <c r="I43" s="15"/>
    </row>
    <row r="44" spans="1:9">
      <c r="A44" t="s">
        <v>48</v>
      </c>
      <c r="B44" s="15">
        <v>4.4999999999999998E-2</v>
      </c>
      <c r="C44" s="15">
        <v>7.9519722222222214E-2</v>
      </c>
      <c r="D44" s="15">
        <f t="shared" si="4"/>
        <v>3.4519722222222216E-2</v>
      </c>
      <c r="E44" s="19">
        <f t="shared" si="3"/>
        <v>1.7671049382716049</v>
      </c>
      <c r="F44" s="16"/>
      <c r="G44" s="16"/>
      <c r="H44" s="52"/>
      <c r="I44" s="15"/>
    </row>
    <row r="45" spans="1:9">
      <c r="A45" t="s">
        <v>60</v>
      </c>
      <c r="B45" s="15">
        <v>7.0000000000000007E-2</v>
      </c>
      <c r="C45" s="15">
        <v>9.9803240740740734E-2</v>
      </c>
      <c r="D45" s="15">
        <f t="shared" si="4"/>
        <v>2.9803240740740727E-2</v>
      </c>
      <c r="E45" s="19">
        <f t="shared" si="3"/>
        <v>1.4257605820105819</v>
      </c>
      <c r="F45" s="16"/>
      <c r="G45" s="16"/>
      <c r="H45" s="51"/>
      <c r="I45" s="15"/>
    </row>
    <row r="46" spans="1:9">
      <c r="A46" t="s">
        <v>116</v>
      </c>
      <c r="B46" s="15">
        <v>6.6250000000000003E-2</v>
      </c>
      <c r="C46" s="15">
        <v>9.2291666666666661E-2</v>
      </c>
      <c r="D46" s="15">
        <f t="shared" si="4"/>
        <v>2.6041666666666657E-2</v>
      </c>
      <c r="E46" s="19">
        <f t="shared" si="3"/>
        <v>1.3930817610062891</v>
      </c>
      <c r="F46" s="16"/>
      <c r="G46" s="16"/>
      <c r="H46" s="51"/>
      <c r="I46" s="15"/>
    </row>
    <row r="47" spans="1:9">
      <c r="A47" t="s">
        <v>95</v>
      </c>
      <c r="B47" s="15">
        <v>7.4999999999999997E-2</v>
      </c>
      <c r="C47" s="15">
        <v>0.10038194444444445</v>
      </c>
      <c r="D47" s="15">
        <f t="shared" si="4"/>
        <v>2.5381944444444457E-2</v>
      </c>
      <c r="E47" s="19">
        <f t="shared" si="3"/>
        <v>1.3384259259259261</v>
      </c>
      <c r="F47" s="16"/>
      <c r="G47" s="16"/>
      <c r="H47" s="51"/>
      <c r="I47" s="15"/>
    </row>
    <row r="48" spans="1:9">
      <c r="A48" t="s">
        <v>175</v>
      </c>
      <c r="B48" s="15">
        <v>5.5E-2</v>
      </c>
      <c r="C48" s="15">
        <v>7.9756630588888891E-2</v>
      </c>
      <c r="D48" s="15">
        <f t="shared" si="4"/>
        <v>2.4756630588888891E-2</v>
      </c>
      <c r="E48" s="19">
        <f t="shared" si="3"/>
        <v>1.4501205561616162</v>
      </c>
      <c r="F48" s="16"/>
      <c r="G48" s="16"/>
      <c r="H48" s="52"/>
      <c r="I48" s="15"/>
    </row>
    <row r="49" spans="1:9">
      <c r="A49" t="s">
        <v>92</v>
      </c>
      <c r="B49" s="15">
        <v>7.9600000000000004E-2</v>
      </c>
      <c r="C49" s="15">
        <v>0.10380555555555557</v>
      </c>
      <c r="D49" s="15">
        <f t="shared" si="4"/>
        <v>2.4205555555555563E-2</v>
      </c>
      <c r="E49" s="19">
        <f t="shared" si="3"/>
        <v>1.3040898939140146</v>
      </c>
      <c r="F49" s="16"/>
      <c r="G49" s="16"/>
      <c r="H49" s="51"/>
      <c r="I49" s="15"/>
    </row>
    <row r="50" spans="1:9">
      <c r="A50" t="s">
        <v>189</v>
      </c>
      <c r="B50" s="15">
        <v>6.5000000000000002E-2</v>
      </c>
      <c r="C50" s="15">
        <v>8.8999999999999996E-2</v>
      </c>
      <c r="D50" s="15">
        <f t="shared" si="4"/>
        <v>2.3999999999999994E-2</v>
      </c>
      <c r="E50" s="19">
        <f t="shared" si="3"/>
        <v>1.369230769230769</v>
      </c>
      <c r="F50" s="16"/>
      <c r="G50" s="16"/>
      <c r="H50" s="51"/>
      <c r="I50" s="15"/>
    </row>
    <row r="51" spans="1:9">
      <c r="A51" t="s">
        <v>248</v>
      </c>
      <c r="B51" s="15">
        <v>0.115</v>
      </c>
      <c r="C51" s="15">
        <v>0.13821069259259261</v>
      </c>
      <c r="D51" s="15">
        <f t="shared" si="4"/>
        <v>2.3210692592592605E-2</v>
      </c>
      <c r="E51" s="19">
        <f t="shared" si="3"/>
        <v>1.2018321095008053</v>
      </c>
      <c r="F51" s="16"/>
      <c r="G51" s="16"/>
      <c r="H51" s="51"/>
      <c r="I51" s="15"/>
    </row>
    <row r="52" spans="1:9">
      <c r="A52" t="s">
        <v>34</v>
      </c>
      <c r="B52" s="15">
        <v>6.3500000000000001E-2</v>
      </c>
      <c r="C52" s="15">
        <v>8.3085898153329604E-2</v>
      </c>
      <c r="D52" s="15">
        <f t="shared" si="4"/>
        <v>1.9585898153329603E-2</v>
      </c>
      <c r="E52" s="19">
        <f t="shared" si="3"/>
        <v>1.3084393409973165</v>
      </c>
      <c r="F52" s="16"/>
      <c r="G52" s="16"/>
      <c r="H52" s="52"/>
      <c r="I52" s="15"/>
    </row>
    <row r="53" spans="1:9">
      <c r="A53" t="s">
        <v>73</v>
      </c>
      <c r="B53" s="15">
        <v>9.7000000000000003E-2</v>
      </c>
      <c r="C53" s="15">
        <v>0.11696527777777778</v>
      </c>
      <c r="D53" s="15">
        <f t="shared" si="4"/>
        <v>1.9965277777777776E-2</v>
      </c>
      <c r="E53" s="19">
        <f t="shared" si="3"/>
        <v>1.2058276059564719</v>
      </c>
      <c r="F53" s="16"/>
      <c r="G53" s="16"/>
      <c r="H53" s="51"/>
      <c r="I53" s="15"/>
    </row>
    <row r="54" spans="1:9">
      <c r="A54" t="s">
        <v>131</v>
      </c>
      <c r="B54" s="15">
        <v>7.2499999999999995E-2</v>
      </c>
      <c r="C54" s="15">
        <v>9.0543981481481489E-2</v>
      </c>
      <c r="D54" s="15">
        <f t="shared" si="4"/>
        <v>1.8043981481481494E-2</v>
      </c>
      <c r="E54" s="19">
        <f t="shared" si="3"/>
        <v>1.2488825031928481</v>
      </c>
      <c r="F54" s="16"/>
      <c r="G54" s="16"/>
      <c r="H54" s="51"/>
      <c r="I54" s="15"/>
    </row>
    <row r="55" spans="1:9">
      <c r="A55" t="s">
        <v>4</v>
      </c>
      <c r="B55" s="15">
        <v>9.6250000000000002E-2</v>
      </c>
      <c r="C55" s="15">
        <v>0.11381944444444445</v>
      </c>
      <c r="D55" s="15">
        <f t="shared" si="4"/>
        <v>1.7569444444444443E-2</v>
      </c>
      <c r="E55" s="19">
        <f t="shared" si="3"/>
        <v>1.1825396825396826</v>
      </c>
      <c r="F55" s="16"/>
      <c r="G55" s="16"/>
      <c r="H55" s="51"/>
      <c r="I55" s="15"/>
    </row>
    <row r="56" spans="1:9">
      <c r="A56" t="s">
        <v>168</v>
      </c>
      <c r="B56" s="15">
        <v>0.06</v>
      </c>
      <c r="C56" s="15">
        <v>7.7199074074074073E-2</v>
      </c>
      <c r="D56" s="15">
        <f t="shared" si="4"/>
        <v>1.7199074074074075E-2</v>
      </c>
      <c r="E56" s="19">
        <f t="shared" si="3"/>
        <v>1.2866512345679013</v>
      </c>
      <c r="F56" s="16"/>
      <c r="G56" s="16"/>
    </row>
    <row r="57" spans="1:9">
      <c r="A57" t="s">
        <v>135</v>
      </c>
      <c r="B57" s="15">
        <v>7.7499999999999999E-2</v>
      </c>
      <c r="C57" s="15">
        <v>8.5828256296296299E-2</v>
      </c>
      <c r="D57" s="15">
        <f t="shared" si="4"/>
        <v>8.3282562962962992E-3</v>
      </c>
      <c r="E57" s="19">
        <f t="shared" si="3"/>
        <v>1.1074613715651136</v>
      </c>
      <c r="F57" s="16"/>
      <c r="G57" s="16"/>
    </row>
    <row r="58" spans="1:9">
      <c r="A58" t="s">
        <v>52</v>
      </c>
      <c r="B58" s="15">
        <v>0.06</v>
      </c>
      <c r="C58" s="15">
        <v>2.8935185185185182E-2</v>
      </c>
      <c r="D58" s="15">
        <f t="shared" si="4"/>
        <v>-3.1064814814814816E-2</v>
      </c>
      <c r="E58" s="19">
        <f t="shared" si="3"/>
        <v>0.48225308641975306</v>
      </c>
      <c r="F58" s="16"/>
      <c r="G58" s="16"/>
    </row>
    <row r="59" spans="1:9">
      <c r="A59" t="s">
        <v>109</v>
      </c>
      <c r="B59" s="15">
        <v>8.3299999999999999E-2</v>
      </c>
      <c r="C59" s="15">
        <v>5.0749711111111102E-2</v>
      </c>
      <c r="D59" s="15">
        <f t="shared" si="4"/>
        <v>-3.2550288888888897E-2</v>
      </c>
      <c r="E59" s="19">
        <f t="shared" si="3"/>
        <v>0.60924022942510325</v>
      </c>
      <c r="F59" s="16"/>
      <c r="G59" s="16"/>
    </row>
    <row r="61" spans="1:9">
      <c r="A61" s="36" t="s">
        <v>516</v>
      </c>
      <c r="B61" s="18">
        <v>7.7700000000000005E-2</v>
      </c>
      <c r="C61" s="18">
        <v>0.13700000000000001</v>
      </c>
      <c r="D61" s="18">
        <f>C61-B61</f>
        <v>5.9300000000000005E-2</v>
      </c>
      <c r="E61" s="54">
        <f>C61/B61</f>
        <v>1.7631917631917633</v>
      </c>
    </row>
    <row r="63" spans="1:9">
      <c r="A63" t="s">
        <v>259</v>
      </c>
    </row>
    <row r="64" spans="1:9">
      <c r="A64" t="s">
        <v>505</v>
      </c>
    </row>
  </sheetData>
  <sortState xmlns:xlrd2="http://schemas.microsoft.com/office/spreadsheetml/2017/richdata2" ref="A8:E59">
    <sortCondition descending="1" ref="D8:D59"/>
  </sortState>
  <mergeCells count="2">
    <mergeCell ref="A2:E2"/>
    <mergeCell ref="A1:E1"/>
  </mergeCells>
  <printOptions gridLines="1"/>
  <pageMargins left="0.7" right="0.7" top="0.75" bottom="0.75" header="0.3" footer="0.3"/>
  <pageSetup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8"/>
  <sheetViews>
    <sheetView workbookViewId="0">
      <selection sqref="A1:C11"/>
    </sheetView>
  </sheetViews>
  <sheetFormatPr defaultColWidth="8.85546875" defaultRowHeight="15"/>
  <cols>
    <col min="1" max="1" width="25.140625" customWidth="1"/>
    <col min="2" max="2" width="28.85546875" customWidth="1"/>
    <col min="3" max="3" width="25.7109375" customWidth="1"/>
  </cols>
  <sheetData>
    <row r="1" spans="1:3">
      <c r="A1" s="88" t="s">
        <v>227</v>
      </c>
      <c r="B1" s="88"/>
      <c r="C1" s="88"/>
    </row>
    <row r="2" spans="1:3">
      <c r="A2" s="88" t="s">
        <v>228</v>
      </c>
      <c r="B2" s="88"/>
      <c r="C2" s="88"/>
    </row>
    <row r="4" spans="1:3">
      <c r="A4" s="10" t="s">
        <v>229</v>
      </c>
      <c r="B4" s="10" t="s">
        <v>231</v>
      </c>
      <c r="C4" s="10" t="s">
        <v>233</v>
      </c>
    </row>
    <row r="5" spans="1:3">
      <c r="A5" s="37" t="s">
        <v>230</v>
      </c>
      <c r="B5" s="37" t="s">
        <v>232</v>
      </c>
      <c r="C5" s="37" t="s">
        <v>234</v>
      </c>
    </row>
    <row r="6" spans="1:3">
      <c r="A6" s="10" t="s">
        <v>66</v>
      </c>
      <c r="B6" s="10" t="s">
        <v>40</v>
      </c>
      <c r="C6" s="10" t="s">
        <v>35</v>
      </c>
    </row>
    <row r="7" spans="1:3">
      <c r="A7" s="10" t="s">
        <v>121</v>
      </c>
      <c r="B7" s="10" t="s">
        <v>42</v>
      </c>
      <c r="C7" s="10" t="s">
        <v>99</v>
      </c>
    </row>
    <row r="8" spans="1:3">
      <c r="A8" s="10" t="s">
        <v>133</v>
      </c>
      <c r="B8" s="10" t="s">
        <v>54</v>
      </c>
      <c r="C8" s="10" t="s">
        <v>114</v>
      </c>
    </row>
    <row r="9" spans="1:3">
      <c r="A9" s="10" t="s">
        <v>143</v>
      </c>
      <c r="B9" s="10" t="s">
        <v>76</v>
      </c>
      <c r="C9" s="10"/>
    </row>
    <row r="10" spans="1:3">
      <c r="A10" s="10" t="s">
        <v>235</v>
      </c>
      <c r="B10" s="10"/>
      <c r="C10" s="10"/>
    </row>
    <row r="11" spans="1:3">
      <c r="A11" s="10" t="s">
        <v>151</v>
      </c>
      <c r="B11" s="10"/>
      <c r="C11" s="10"/>
    </row>
    <row r="12" spans="1:3">
      <c r="B12" s="10"/>
      <c r="C12" s="10"/>
    </row>
    <row r="13" spans="1:3">
      <c r="A13" s="10"/>
      <c r="B13" s="10"/>
      <c r="C13" s="10"/>
    </row>
    <row r="14" spans="1:3">
      <c r="A14" s="10"/>
      <c r="B14" s="10"/>
      <c r="C14" s="10"/>
    </row>
    <row r="15" spans="1:3">
      <c r="A15" s="10"/>
      <c r="B15" s="10"/>
      <c r="C15" s="10"/>
    </row>
    <row r="16" spans="1:3">
      <c r="A16" s="10"/>
      <c r="B16" s="10"/>
      <c r="C16" s="10"/>
    </row>
    <row r="17" spans="1:3">
      <c r="A17" s="10"/>
      <c r="B17" s="10"/>
      <c r="C17" s="10"/>
    </row>
    <row r="18" spans="1:3">
      <c r="A18" s="10"/>
      <c r="B18" s="10"/>
      <c r="C18" s="10"/>
    </row>
  </sheetData>
  <mergeCells count="2">
    <mergeCell ref="A1:C1"/>
    <mergeCell ref="A2:C2"/>
  </mergeCells>
  <printOptions gridLine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5"/>
  <sheetViews>
    <sheetView workbookViewId="0">
      <selection activeCell="A5" sqref="A5"/>
    </sheetView>
  </sheetViews>
  <sheetFormatPr defaultColWidth="8.85546875" defaultRowHeight="15"/>
  <cols>
    <col min="1" max="1" width="31.42578125" customWidth="1"/>
    <col min="2" max="2" width="30.42578125" customWidth="1"/>
    <col min="3" max="3" width="27.140625" customWidth="1"/>
  </cols>
  <sheetData>
    <row r="1" spans="1:3">
      <c r="A1" s="88" t="s">
        <v>237</v>
      </c>
      <c r="B1" s="88"/>
      <c r="C1" s="88"/>
    </row>
    <row r="2" spans="1:3">
      <c r="A2" s="88" t="s">
        <v>236</v>
      </c>
      <c r="B2" s="88"/>
      <c r="C2" s="88"/>
    </row>
    <row r="4" spans="1:3">
      <c r="C4" s="10" t="s">
        <v>239</v>
      </c>
    </row>
    <row r="5" spans="1:3">
      <c r="A5" s="37" t="s">
        <v>517</v>
      </c>
      <c r="B5" s="37" t="s">
        <v>238</v>
      </c>
      <c r="C5" s="37" t="s">
        <v>240</v>
      </c>
    </row>
    <row r="6" spans="1:3">
      <c r="A6" s="10" t="s">
        <v>13</v>
      </c>
      <c r="B6" s="10" t="s">
        <v>42</v>
      </c>
      <c r="C6" s="10" t="s">
        <v>66</v>
      </c>
    </row>
    <row r="7" spans="1:3">
      <c r="A7" s="10" t="s">
        <v>24</v>
      </c>
      <c r="B7" s="10" t="s">
        <v>54</v>
      </c>
      <c r="C7" s="10" t="s">
        <v>121</v>
      </c>
    </row>
    <row r="8" spans="1:3">
      <c r="A8" s="10" t="s">
        <v>82</v>
      </c>
      <c r="B8" s="10" t="s">
        <v>82</v>
      </c>
    </row>
    <row r="9" spans="1:3">
      <c r="A9" s="10" t="s">
        <v>96</v>
      </c>
      <c r="B9" s="10" t="s">
        <v>121</v>
      </c>
    </row>
    <row r="10" spans="1:3">
      <c r="A10" s="10" t="s">
        <v>105</v>
      </c>
      <c r="B10" s="10" t="s">
        <v>164</v>
      </c>
    </row>
    <row r="11" spans="1:3">
      <c r="A11" s="10" t="s">
        <v>109</v>
      </c>
      <c r="B11" s="10"/>
    </row>
    <row r="12" spans="1:3">
      <c r="A12" s="10" t="s">
        <v>148</v>
      </c>
      <c r="B12" s="10"/>
    </row>
    <row r="13" spans="1:3">
      <c r="A13" s="10" t="s">
        <v>170</v>
      </c>
    </row>
    <row r="15" spans="1:3">
      <c r="A15" s="8" t="s">
        <v>275</v>
      </c>
    </row>
  </sheetData>
  <mergeCells count="2">
    <mergeCell ref="A1:C1"/>
    <mergeCell ref="A2:C2"/>
  </mergeCells>
  <printOptions gridLine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5"/>
  <sheetViews>
    <sheetView topLeftCell="A7" workbookViewId="0">
      <selection activeCell="B8" sqref="B8"/>
    </sheetView>
  </sheetViews>
  <sheetFormatPr defaultColWidth="8.85546875" defaultRowHeight="15"/>
  <cols>
    <col min="1" max="1" width="20" customWidth="1"/>
    <col min="2" max="2" width="21.42578125" customWidth="1"/>
    <col min="3" max="3" width="20.42578125" customWidth="1"/>
  </cols>
  <sheetData>
    <row r="1" spans="1:8" ht="15.75" customHeight="1">
      <c r="A1" s="89" t="s">
        <v>242</v>
      </c>
      <c r="B1" s="89"/>
      <c r="C1" s="89"/>
    </row>
    <row r="2" spans="1:8" ht="15.75" customHeight="1">
      <c r="A2" s="89" t="s">
        <v>429</v>
      </c>
      <c r="B2" s="89"/>
      <c r="C2" s="89"/>
    </row>
    <row r="3" spans="1:8" ht="15.75" customHeight="1">
      <c r="A3" s="90" t="s">
        <v>510</v>
      </c>
      <c r="B3" s="90"/>
      <c r="C3" s="90"/>
    </row>
    <row r="4" spans="1:8">
      <c r="C4" s="10"/>
      <c r="E4" s="10"/>
    </row>
    <row r="5" spans="1:8">
      <c r="B5" s="10" t="s">
        <v>519</v>
      </c>
    </row>
    <row r="6" spans="1:8" ht="15.75" customHeight="1">
      <c r="A6" s="35"/>
      <c r="B6" s="10" t="s">
        <v>398</v>
      </c>
    </row>
    <row r="7" spans="1:8">
      <c r="B7" s="28">
        <v>100</v>
      </c>
      <c r="C7" s="10" t="s">
        <v>332</v>
      </c>
    </row>
    <row r="8" spans="1:8">
      <c r="A8" s="37" t="s">
        <v>241</v>
      </c>
      <c r="B8" s="37" t="s">
        <v>518</v>
      </c>
      <c r="C8" s="37" t="s">
        <v>223</v>
      </c>
    </row>
    <row r="9" spans="1:8">
      <c r="A9" t="s">
        <v>348</v>
      </c>
      <c r="B9" s="27">
        <f>4*5+B7*0.07+B7*0.07+4*0.02</f>
        <v>34.08</v>
      </c>
      <c r="C9" s="15">
        <f t="shared" ref="C9:C10" si="0">B9/$B$7</f>
        <v>0.34079999999999999</v>
      </c>
      <c r="D9" s="56"/>
      <c r="E9" s="56"/>
      <c r="F9" s="56"/>
    </row>
    <row r="10" spans="1:8">
      <c r="A10" t="s">
        <v>220</v>
      </c>
      <c r="B10" s="27">
        <f>4*4+4*1.5+B7*0.06+4*0.05</f>
        <v>28.2</v>
      </c>
      <c r="C10" s="15">
        <f t="shared" si="0"/>
        <v>0.28199999999999997</v>
      </c>
      <c r="F10" s="56"/>
    </row>
    <row r="11" spans="1:8">
      <c r="A11" t="s">
        <v>412</v>
      </c>
      <c r="B11" s="27">
        <f>B7*8.625%+B7*8.33%+4*1.3+4*0.02</f>
        <v>22.234999999999996</v>
      </c>
      <c r="C11" s="15">
        <f t="shared" ref="C11:C18" si="1">B11/$B$7</f>
        <v>0.22234999999999996</v>
      </c>
      <c r="F11" s="56"/>
    </row>
    <row r="12" spans="1:8">
      <c r="A12" t="s">
        <v>217</v>
      </c>
      <c r="B12" s="27">
        <f>B7*0.07+B7*0.0625+1.75*4+4*0.45+4*0.03</f>
        <v>22.17</v>
      </c>
      <c r="C12" s="15">
        <f t="shared" si="1"/>
        <v>0.22170000000000001</v>
      </c>
      <c r="F12" s="56"/>
    </row>
    <row r="13" spans="1:8">
      <c r="A13" t="s">
        <v>216</v>
      </c>
      <c r="B13" s="27">
        <f>B7*0.1025+B7*0.06+0.95*4+4*0.4</f>
        <v>21.650000000000002</v>
      </c>
      <c r="C13" s="15">
        <f t="shared" si="1"/>
        <v>0.21650000000000003</v>
      </c>
      <c r="F13" s="56"/>
    </row>
    <row r="14" spans="1:8">
      <c r="A14" t="s">
        <v>218</v>
      </c>
      <c r="B14" s="27">
        <f>B7*0.08875+B7*0.0362+B7*0.84*0.0235+1.5*4</f>
        <v>20.469000000000001</v>
      </c>
      <c r="C14" s="15">
        <f t="shared" si="1"/>
        <v>0.20469000000000001</v>
      </c>
      <c r="F14" s="56"/>
      <c r="G14" s="39"/>
      <c r="H14" s="39"/>
    </row>
    <row r="15" spans="1:8">
      <c r="A15" t="s">
        <v>219</v>
      </c>
      <c r="B15" s="27">
        <f>B7*0.08+B7*0.05+1.65*4</f>
        <v>19.600000000000001</v>
      </c>
      <c r="C15" s="15">
        <f t="shared" si="1"/>
        <v>0.19600000000000001</v>
      </c>
      <c r="F15" s="56"/>
      <c r="H15" s="38"/>
    </row>
    <row r="16" spans="1:8">
      <c r="A16" t="s">
        <v>391</v>
      </c>
      <c r="B16" s="27">
        <f>B7*0.0775+B7*0.035+4*0.96+4*0.52+4*0.36</f>
        <v>18.610000000000003</v>
      </c>
      <c r="C16" s="15">
        <f t="shared" si="1"/>
        <v>0.18610000000000004</v>
      </c>
      <c r="F16" s="56"/>
      <c r="H16" s="38"/>
    </row>
    <row r="17" spans="1:11">
      <c r="A17" t="s">
        <v>509</v>
      </c>
      <c r="B17" s="27">
        <f>B7*0.0825+B7*0.0755+0.06*4+0.5*4</f>
        <v>18.04</v>
      </c>
      <c r="C17" s="15">
        <f t="shared" si="1"/>
        <v>0.1804</v>
      </c>
      <c r="F17" s="56"/>
    </row>
    <row r="18" spans="1:11">
      <c r="A18" t="s">
        <v>221</v>
      </c>
      <c r="B18" s="27">
        <f>B7*0.12+4*1.25</f>
        <v>17</v>
      </c>
      <c r="C18" s="15">
        <f t="shared" si="1"/>
        <v>0.17</v>
      </c>
      <c r="F18" s="56"/>
      <c r="G18" s="38"/>
      <c r="H18" s="38"/>
    </row>
    <row r="19" spans="1:11">
      <c r="B19" s="27"/>
      <c r="C19" s="15"/>
      <c r="F19" s="16"/>
      <c r="G19" s="38"/>
      <c r="H19" s="38"/>
    </row>
    <row r="21" spans="1:11">
      <c r="B21" s="10" t="s">
        <v>366</v>
      </c>
      <c r="F21" s="16"/>
      <c r="G21" s="38"/>
      <c r="H21" s="38"/>
      <c r="I21" s="38"/>
      <c r="K21" s="38"/>
    </row>
    <row r="22" spans="1:11">
      <c r="B22" s="10" t="s">
        <v>398</v>
      </c>
    </row>
    <row r="23" spans="1:11">
      <c r="B23" s="27">
        <v>34.56</v>
      </c>
      <c r="C23" s="10" t="s">
        <v>332</v>
      </c>
      <c r="F23" s="56"/>
      <c r="H23" s="55"/>
      <c r="K23" s="38"/>
    </row>
    <row r="24" spans="1:11">
      <c r="A24" s="37" t="s">
        <v>241</v>
      </c>
      <c r="B24" s="37" t="s">
        <v>222</v>
      </c>
      <c r="C24" s="37" t="s">
        <v>223</v>
      </c>
      <c r="F24" s="37"/>
      <c r="G24" s="37"/>
      <c r="H24" s="56"/>
    </row>
    <row r="25" spans="1:11">
      <c r="A25" t="s">
        <v>348</v>
      </c>
      <c r="B25" s="27">
        <f>5+B23*0.07+B23*0.07+0.02</f>
        <v>9.8583999999999996</v>
      </c>
      <c r="C25" s="59">
        <f t="shared" ref="C25:C26" si="2">B25/$B$23</f>
        <v>0.28525462962962961</v>
      </c>
      <c r="F25" s="56"/>
      <c r="G25" s="56"/>
      <c r="H25" s="56"/>
    </row>
    <row r="26" spans="1:11">
      <c r="A26" t="s">
        <v>220</v>
      </c>
      <c r="B26" s="27">
        <f>B23*0.06+4+1.5+0.05</f>
        <v>7.6235999999999997</v>
      </c>
      <c r="C26" s="59">
        <f t="shared" si="2"/>
        <v>0.22059027777777776</v>
      </c>
      <c r="F26" s="56"/>
      <c r="G26" s="56"/>
    </row>
    <row r="27" spans="1:11">
      <c r="A27" t="s">
        <v>412</v>
      </c>
      <c r="B27" s="27">
        <f>B23*0.08625+B23*8.33%+1.3+0.02</f>
        <v>7.1796479999999994</v>
      </c>
      <c r="C27" s="59">
        <f t="shared" ref="C27:C34" si="3">B27/$B$23</f>
        <v>0.20774444444444443</v>
      </c>
      <c r="F27" s="56"/>
      <c r="G27" s="56"/>
    </row>
    <row r="28" spans="1:11">
      <c r="A28" t="s">
        <v>216</v>
      </c>
      <c r="B28" s="27">
        <f>B23*0.1025+B23*0.06+0.95*1+0.4</f>
        <v>6.9660000000000002</v>
      </c>
      <c r="C28" s="59">
        <f t="shared" si="3"/>
        <v>0.20156250000000001</v>
      </c>
      <c r="F28" s="39"/>
      <c r="G28" s="56"/>
      <c r="H28" s="72"/>
    </row>
    <row r="29" spans="1:11">
      <c r="A29" t="s">
        <v>217</v>
      </c>
      <c r="B29" s="27">
        <f>B23*0.07+B23*0.0625+1.75+1*0.45+0.03</f>
        <v>6.8092000000000006</v>
      </c>
      <c r="C29" s="59">
        <f t="shared" si="3"/>
        <v>0.19702546296296297</v>
      </c>
      <c r="F29" s="39"/>
      <c r="G29" s="38"/>
      <c r="H29" s="56"/>
    </row>
    <row r="30" spans="1:11">
      <c r="A30" t="s">
        <v>218</v>
      </c>
      <c r="B30" s="27">
        <f>B23*0.08875+B23*0.0362+B23*0.84*0.0235+1.5*1</f>
        <v>6.5004864000000007</v>
      </c>
      <c r="C30" s="59">
        <f t="shared" si="3"/>
        <v>0.18809277777777778</v>
      </c>
      <c r="F30" s="39"/>
      <c r="H30" s="56"/>
    </row>
    <row r="31" spans="1:11">
      <c r="A31" t="s">
        <v>219</v>
      </c>
      <c r="B31" s="27">
        <f>B23*0.08+B23*0.05+1.65</f>
        <v>6.1428000000000011</v>
      </c>
      <c r="C31" s="59">
        <f t="shared" si="3"/>
        <v>0.17774305555555558</v>
      </c>
      <c r="F31" s="39"/>
      <c r="G31" s="38"/>
      <c r="H31" s="56"/>
      <c r="I31" s="38"/>
      <c r="K31" s="38"/>
    </row>
    <row r="32" spans="1:11">
      <c r="A32" t="s">
        <v>509</v>
      </c>
      <c r="B32" s="27">
        <f>B23*0.0825+B23*0.0755+0.06+0.5</f>
        <v>6.0204800000000001</v>
      </c>
      <c r="C32" s="59">
        <f t="shared" si="3"/>
        <v>0.17420370370370369</v>
      </c>
      <c r="F32" s="56"/>
      <c r="G32" s="56"/>
      <c r="H32" s="56"/>
      <c r="K32" s="38"/>
    </row>
    <row r="33" spans="1:11">
      <c r="A33" t="s">
        <v>391</v>
      </c>
      <c r="B33" s="27">
        <f>B23*7.75%+B23*3.5%+0.96+0.52+0.36</f>
        <v>5.7280000000000006</v>
      </c>
      <c r="C33" s="59">
        <f t="shared" si="3"/>
        <v>0.16574074074074074</v>
      </c>
      <c r="G33" s="38"/>
      <c r="H33" s="56"/>
      <c r="I33" s="38"/>
      <c r="J33" s="38"/>
      <c r="K33" s="38"/>
    </row>
    <row r="34" spans="1:11">
      <c r="A34" t="s">
        <v>221</v>
      </c>
      <c r="B34" s="27">
        <f>B23*0.12+1.25</f>
        <v>5.3971999999999998</v>
      </c>
      <c r="C34" s="59">
        <f t="shared" si="3"/>
        <v>0.15616898148148148</v>
      </c>
    </row>
    <row r="35" spans="1:11">
      <c r="B35" s="27"/>
      <c r="C35" s="59"/>
    </row>
  </sheetData>
  <mergeCells count="3">
    <mergeCell ref="A1:C1"/>
    <mergeCell ref="A2:C2"/>
    <mergeCell ref="A3:C3"/>
  </mergeCells>
  <printOptions gridLine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A8379-0877-4F64-BC1F-A187462E0F0C}">
  <dimension ref="A1:K75"/>
  <sheetViews>
    <sheetView workbookViewId="0">
      <selection activeCell="F82" sqref="F82"/>
    </sheetView>
  </sheetViews>
  <sheetFormatPr defaultColWidth="8.7109375" defaultRowHeight="15"/>
  <cols>
    <col min="1" max="1" width="8.7109375" style="10"/>
    <col min="2" max="2" width="25.85546875" customWidth="1"/>
    <col min="3" max="3" width="11.140625" style="10" customWidth="1"/>
    <col min="4" max="5" width="12.5703125" customWidth="1"/>
    <col min="6" max="6" width="14.140625" customWidth="1"/>
    <col min="7" max="7" width="10.42578125" customWidth="1"/>
    <col min="8" max="8" width="14" customWidth="1"/>
    <col min="9" max="9" width="10.85546875" customWidth="1"/>
    <col min="10" max="10" width="11.140625" customWidth="1"/>
  </cols>
  <sheetData>
    <row r="1" spans="1:11" ht="18.75">
      <c r="A1" s="91" t="s">
        <v>520</v>
      </c>
      <c r="B1" s="91"/>
      <c r="C1" s="91"/>
      <c r="D1" s="91"/>
      <c r="E1" s="91"/>
      <c r="F1" s="91"/>
    </row>
    <row r="2" spans="1:11" ht="15.6" customHeight="1">
      <c r="A2" s="87" t="s">
        <v>506</v>
      </c>
      <c r="B2" s="87"/>
      <c r="C2" s="87"/>
      <c r="D2" s="87"/>
      <c r="E2" s="87"/>
      <c r="F2" s="87"/>
    </row>
    <row r="4" spans="1:11">
      <c r="E4" s="10" t="s">
        <v>430</v>
      </c>
    </row>
    <row r="5" spans="1:11">
      <c r="D5" s="75" t="s">
        <v>430</v>
      </c>
      <c r="E5" s="10" t="s">
        <v>431</v>
      </c>
      <c r="F5" s="10" t="s">
        <v>432</v>
      </c>
    </row>
    <row r="6" spans="1:11">
      <c r="D6" s="10" t="s">
        <v>433</v>
      </c>
      <c r="E6" s="10" t="s">
        <v>186</v>
      </c>
      <c r="F6" s="10" t="s">
        <v>434</v>
      </c>
    </row>
    <row r="7" spans="1:11">
      <c r="C7" s="10" t="s">
        <v>430</v>
      </c>
      <c r="D7" s="10" t="s">
        <v>186</v>
      </c>
      <c r="E7" s="10" t="s">
        <v>435</v>
      </c>
      <c r="F7" s="10" t="s">
        <v>436</v>
      </c>
    </row>
    <row r="8" spans="1:11">
      <c r="C8" s="10" t="s">
        <v>433</v>
      </c>
      <c r="D8" s="10" t="s">
        <v>437</v>
      </c>
      <c r="E8" s="10" t="s">
        <v>438</v>
      </c>
      <c r="F8" s="10" t="s">
        <v>186</v>
      </c>
    </row>
    <row r="9" spans="1:11">
      <c r="A9" s="10" t="s">
        <v>370</v>
      </c>
      <c r="C9" s="10" t="s">
        <v>186</v>
      </c>
      <c r="D9" s="10" t="s">
        <v>439</v>
      </c>
      <c r="E9" s="10" t="s">
        <v>507</v>
      </c>
      <c r="F9" s="10" t="s">
        <v>440</v>
      </c>
    </row>
    <row r="10" spans="1:11">
      <c r="A10" s="37" t="s">
        <v>441</v>
      </c>
      <c r="B10" s="37" t="s">
        <v>370</v>
      </c>
      <c r="C10" s="37" t="s">
        <v>442</v>
      </c>
      <c r="D10" s="37" t="s">
        <v>521</v>
      </c>
      <c r="E10" s="37" t="s">
        <v>443</v>
      </c>
      <c r="F10" s="37" t="s">
        <v>223</v>
      </c>
      <c r="H10" s="37"/>
    </row>
    <row r="11" spans="1:11">
      <c r="A11" s="10">
        <v>1</v>
      </c>
      <c r="B11" s="57" t="s">
        <v>294</v>
      </c>
      <c r="C11" s="38">
        <v>5.4628319999999997</v>
      </c>
      <c r="D11" s="15">
        <f t="shared" ref="D11:D42" si="0">C11/$D$68</f>
        <v>0.33631501182033091</v>
      </c>
      <c r="E11" s="15">
        <f t="shared" ref="E11:E42" si="1">C11/$D$67</f>
        <v>0.15806805555555553</v>
      </c>
      <c r="F11" s="15">
        <v>0.22961805555555556</v>
      </c>
      <c r="G11" s="38"/>
      <c r="H11" s="39"/>
      <c r="I11" s="38"/>
      <c r="J11" s="16"/>
      <c r="K11" s="38"/>
    </row>
    <row r="12" spans="1:11">
      <c r="A12" s="10">
        <v>2</v>
      </c>
      <c r="B12" s="57" t="s">
        <v>301</v>
      </c>
      <c r="C12" s="38">
        <v>4.4045920000000001</v>
      </c>
      <c r="D12" s="15">
        <f t="shared" si="0"/>
        <v>0.27116528762805359</v>
      </c>
      <c r="E12" s="15">
        <f t="shared" si="1"/>
        <v>0.12744768518518518</v>
      </c>
      <c r="F12" s="85">
        <v>0.15910300925925927</v>
      </c>
      <c r="G12" s="38"/>
      <c r="H12" s="39"/>
      <c r="I12" s="38"/>
      <c r="J12" s="84"/>
      <c r="K12" s="38"/>
    </row>
    <row r="13" spans="1:11">
      <c r="A13" s="10">
        <v>3</v>
      </c>
      <c r="B13" s="57" t="s">
        <v>308</v>
      </c>
      <c r="C13" s="38">
        <v>4.3822240000000008</v>
      </c>
      <c r="D13" s="15">
        <f t="shared" si="0"/>
        <v>0.26978821907013401</v>
      </c>
      <c r="E13" s="15">
        <f t="shared" si="1"/>
        <v>0.12680046296296299</v>
      </c>
      <c r="F13" s="85">
        <v>0.2004431216931217</v>
      </c>
      <c r="G13" s="38"/>
      <c r="H13" s="39"/>
      <c r="I13" s="38"/>
      <c r="J13" s="84"/>
      <c r="K13" s="38"/>
    </row>
    <row r="14" spans="1:11">
      <c r="A14" s="10">
        <v>4</v>
      </c>
      <c r="B14" s="57" t="s">
        <v>313</v>
      </c>
      <c r="C14" s="38">
        <v>4.3653139200000002</v>
      </c>
      <c r="D14" s="15">
        <f t="shared" si="0"/>
        <v>0.26874716312056735</v>
      </c>
      <c r="E14" s="15">
        <f t="shared" si="1"/>
        <v>0.12631116666666667</v>
      </c>
      <c r="F14" s="85">
        <v>0.20399699074074074</v>
      </c>
      <c r="G14" s="38"/>
      <c r="H14" s="39"/>
      <c r="I14" s="38"/>
      <c r="J14" s="84"/>
      <c r="K14" s="38"/>
    </row>
    <row r="15" spans="1:11">
      <c r="A15" s="10">
        <v>5</v>
      </c>
      <c r="B15" s="57" t="s">
        <v>284</v>
      </c>
      <c r="C15" s="38">
        <v>4.176092896000001</v>
      </c>
      <c r="D15" s="15">
        <f t="shared" si="0"/>
        <v>0.25709791765169426</v>
      </c>
      <c r="E15" s="15">
        <f t="shared" si="1"/>
        <v>0.12083602129629632</v>
      </c>
      <c r="F15" s="85">
        <v>0.21341194444444447</v>
      </c>
      <c r="G15" s="38"/>
      <c r="H15" s="39"/>
      <c r="I15" s="38"/>
      <c r="J15" s="84"/>
      <c r="K15" s="38"/>
    </row>
    <row r="16" spans="1:11">
      <c r="A16" s="10">
        <v>6</v>
      </c>
      <c r="B16" s="57" t="s">
        <v>328</v>
      </c>
      <c r="C16" s="38">
        <v>4.1722560000000009</v>
      </c>
      <c r="D16" s="15">
        <f t="shared" si="0"/>
        <v>0.25686170212765957</v>
      </c>
      <c r="E16" s="15">
        <f t="shared" si="1"/>
        <v>0.12072500000000001</v>
      </c>
      <c r="F16" s="85">
        <v>0.21281250000000002</v>
      </c>
      <c r="G16" s="38"/>
      <c r="H16" s="39"/>
      <c r="I16" s="38"/>
      <c r="J16" s="84"/>
      <c r="K16" s="38"/>
    </row>
    <row r="17" spans="1:11">
      <c r="A17" s="10">
        <v>7</v>
      </c>
      <c r="B17" s="57" t="s">
        <v>329</v>
      </c>
      <c r="C17" s="38">
        <v>4.01</v>
      </c>
      <c r="D17" s="15">
        <f t="shared" si="0"/>
        <v>0.24687253743104803</v>
      </c>
      <c r="E17" s="15">
        <f t="shared" si="1"/>
        <v>0.11603009259259257</v>
      </c>
      <c r="F17" s="15">
        <v>0.11603009259259259</v>
      </c>
      <c r="G17" s="38"/>
      <c r="H17" s="39"/>
      <c r="I17" s="38"/>
      <c r="J17" s="16"/>
      <c r="K17" s="38"/>
    </row>
    <row r="18" spans="1:11">
      <c r="A18" s="10">
        <v>8</v>
      </c>
      <c r="B18" s="57" t="s">
        <v>317</v>
      </c>
      <c r="C18" s="38">
        <v>3.9922046720000002</v>
      </c>
      <c r="D18" s="15">
        <f t="shared" si="0"/>
        <v>0.24577698187549249</v>
      </c>
      <c r="E18" s="15">
        <f t="shared" si="1"/>
        <v>0.11551518148148147</v>
      </c>
      <c r="F18" s="15">
        <v>0.16094148148148149</v>
      </c>
      <c r="G18" s="38"/>
      <c r="H18" s="39"/>
      <c r="I18" s="38"/>
      <c r="J18" s="16"/>
      <c r="K18" s="38"/>
    </row>
    <row r="19" spans="1:11">
      <c r="A19" s="10">
        <v>9</v>
      </c>
      <c r="B19" s="57" t="s">
        <v>315</v>
      </c>
      <c r="C19" s="38">
        <v>3.613712</v>
      </c>
      <c r="D19" s="15">
        <f t="shared" si="0"/>
        <v>0.22247537431048067</v>
      </c>
      <c r="E19" s="15">
        <f t="shared" si="1"/>
        <v>0.10456342592592592</v>
      </c>
      <c r="F19" s="15">
        <v>0.15623842592592593</v>
      </c>
      <c r="G19" s="38"/>
      <c r="H19" s="39"/>
      <c r="I19" s="38"/>
      <c r="J19" s="16"/>
      <c r="K19" s="38"/>
    </row>
    <row r="20" spans="1:11">
      <c r="A20" s="10">
        <v>10</v>
      </c>
      <c r="B20" s="57" t="s">
        <v>325</v>
      </c>
      <c r="C20" s="38">
        <v>3.6067519999999997</v>
      </c>
      <c r="D20" s="15">
        <f t="shared" si="0"/>
        <v>0.22204688731284472</v>
      </c>
      <c r="E20" s="15">
        <f t="shared" si="1"/>
        <v>0.10436203703703702</v>
      </c>
      <c r="F20" s="15">
        <v>0.16324074074074074</v>
      </c>
      <c r="G20" s="38"/>
      <c r="H20" s="39"/>
      <c r="I20" s="38"/>
      <c r="J20" s="16"/>
      <c r="K20" s="38"/>
    </row>
    <row r="21" spans="1:11">
      <c r="A21" s="10">
        <v>11</v>
      </c>
      <c r="B21" s="57" t="s">
        <v>319</v>
      </c>
      <c r="C21" s="38">
        <v>3.5991840000000002</v>
      </c>
      <c r="D21" s="15">
        <f t="shared" si="0"/>
        <v>0.22158096926713947</v>
      </c>
      <c r="E21" s="15">
        <f t="shared" si="1"/>
        <v>0.10414305555555556</v>
      </c>
      <c r="F21" s="15">
        <v>0.16774305555555555</v>
      </c>
      <c r="G21" s="38"/>
      <c r="H21" s="39"/>
      <c r="I21" s="38"/>
      <c r="J21" s="16"/>
      <c r="K21" s="38"/>
    </row>
    <row r="22" spans="1:11">
      <c r="A22" s="10">
        <v>12</v>
      </c>
      <c r="B22" s="57" t="s">
        <v>297</v>
      </c>
      <c r="C22" s="38">
        <v>3.4139162073600002</v>
      </c>
      <c r="D22" s="15">
        <f t="shared" si="0"/>
        <v>0.2101751014184397</v>
      </c>
      <c r="E22" s="15">
        <f t="shared" si="1"/>
        <v>9.8782297666666671E-2</v>
      </c>
      <c r="F22" s="15">
        <v>0.18080896666666665</v>
      </c>
      <c r="G22" s="38"/>
      <c r="H22" s="39"/>
      <c r="I22" s="38"/>
      <c r="J22" s="16"/>
      <c r="K22" s="38"/>
    </row>
    <row r="23" spans="1:11">
      <c r="A23" s="10">
        <v>13</v>
      </c>
      <c r="B23" s="57" t="s">
        <v>299</v>
      </c>
      <c r="C23" s="38">
        <v>3.4103904000000003</v>
      </c>
      <c r="D23" s="15">
        <f t="shared" si="0"/>
        <v>0.20995803782505909</v>
      </c>
      <c r="E23" s="15">
        <f t="shared" si="1"/>
        <v>9.8680277777777783E-2</v>
      </c>
      <c r="F23" s="15">
        <v>0.11696527777777778</v>
      </c>
      <c r="G23" s="38"/>
      <c r="H23" s="39"/>
      <c r="I23" s="38"/>
      <c r="J23" s="16"/>
      <c r="K23" s="38"/>
    </row>
    <row r="24" spans="1:11">
      <c r="A24" s="10">
        <v>14</v>
      </c>
      <c r="B24" s="57" t="s">
        <v>282</v>
      </c>
      <c r="C24" s="38">
        <v>3.3877772799999999</v>
      </c>
      <c r="D24" s="15">
        <f t="shared" si="0"/>
        <v>0.20856587864460202</v>
      </c>
      <c r="E24" s="15">
        <f t="shared" si="1"/>
        <v>9.8025962962962954E-2</v>
      </c>
      <c r="F24" s="15">
        <v>0.14461296296296294</v>
      </c>
      <c r="G24" s="38"/>
      <c r="H24" s="39"/>
      <c r="I24" s="38"/>
      <c r="J24" s="16"/>
      <c r="K24" s="38"/>
    </row>
    <row r="25" spans="1:11">
      <c r="A25" s="10">
        <v>15</v>
      </c>
      <c r="B25" s="57" t="s">
        <v>320</v>
      </c>
      <c r="C25" s="38">
        <v>3.1991840000000002</v>
      </c>
      <c r="D25" s="15">
        <f t="shared" si="0"/>
        <v>0.19695527974783295</v>
      </c>
      <c r="E25" s="15">
        <f t="shared" si="1"/>
        <v>9.2568981481481488E-2</v>
      </c>
      <c r="F25" s="15">
        <v>0.15616898148148151</v>
      </c>
      <c r="G25" s="38"/>
      <c r="H25" s="39"/>
      <c r="I25" s="38"/>
      <c r="J25" s="16"/>
      <c r="K25" s="38"/>
    </row>
    <row r="26" spans="1:11">
      <c r="A26" s="10">
        <v>16</v>
      </c>
      <c r="B26" s="57" t="s">
        <v>324</v>
      </c>
      <c r="C26" s="38">
        <v>3.1261007360000006</v>
      </c>
      <c r="D26" s="15">
        <f t="shared" si="0"/>
        <v>0.19245596532702919</v>
      </c>
      <c r="E26" s="15">
        <f t="shared" si="1"/>
        <v>9.045430370370372E-2</v>
      </c>
      <c r="F26" s="15">
        <v>0.17418370370370367</v>
      </c>
      <c r="G26" s="38"/>
      <c r="H26" s="39"/>
      <c r="I26" s="38"/>
      <c r="J26" s="16"/>
      <c r="K26" s="38"/>
    </row>
    <row r="27" spans="1:11">
      <c r="A27" s="10">
        <v>17</v>
      </c>
      <c r="B27" s="57" t="s">
        <v>322</v>
      </c>
      <c r="C27" s="38">
        <v>3.0721318592000002</v>
      </c>
      <c r="D27" s="15">
        <f t="shared" si="0"/>
        <v>0.18913341331757288</v>
      </c>
      <c r="E27" s="15">
        <f t="shared" si="1"/>
        <v>8.8892704259259256E-2</v>
      </c>
      <c r="F27" s="15">
        <v>0.14345275925925929</v>
      </c>
      <c r="G27" s="38"/>
      <c r="H27" s="39"/>
      <c r="I27" s="38"/>
      <c r="J27" s="16"/>
      <c r="K27" s="38"/>
    </row>
    <row r="28" spans="1:11">
      <c r="A28" s="10">
        <v>18</v>
      </c>
      <c r="B28" s="57" t="s">
        <v>286</v>
      </c>
      <c r="C28" s="38">
        <v>3.0627923328</v>
      </c>
      <c r="D28" s="15">
        <f t="shared" si="0"/>
        <v>0.18855843262411345</v>
      </c>
      <c r="E28" s="15">
        <f t="shared" si="1"/>
        <v>8.8622463333333332E-2</v>
      </c>
      <c r="F28" s="15">
        <v>0.13423108333333333</v>
      </c>
      <c r="G28" s="38"/>
      <c r="H28" s="39"/>
      <c r="I28" s="38"/>
      <c r="J28" s="16"/>
      <c r="K28" s="38"/>
    </row>
    <row r="29" spans="1:11">
      <c r="A29" s="10">
        <v>19</v>
      </c>
      <c r="B29" s="57" t="s">
        <v>323</v>
      </c>
      <c r="C29" s="38">
        <v>3.0431040000000005</v>
      </c>
      <c r="D29" s="15">
        <f t="shared" si="0"/>
        <v>0.18734633569739953</v>
      </c>
      <c r="E29" s="15">
        <f t="shared" si="1"/>
        <v>8.8052777777777785E-2</v>
      </c>
      <c r="F29" s="15">
        <v>0.13840277777777776</v>
      </c>
      <c r="G29" s="38"/>
      <c r="H29" s="39"/>
      <c r="I29" s="38"/>
      <c r="J29" s="16"/>
      <c r="K29" s="38"/>
    </row>
    <row r="30" spans="1:11">
      <c r="A30" s="10">
        <v>20</v>
      </c>
      <c r="B30" s="57" t="s">
        <v>291</v>
      </c>
      <c r="C30" s="38">
        <v>2.8900250000000001</v>
      </c>
      <c r="D30" s="15">
        <f t="shared" si="0"/>
        <v>0.1779221458825847</v>
      </c>
      <c r="E30" s="15">
        <f t="shared" si="1"/>
        <v>8.3623408564814816E-2</v>
      </c>
      <c r="F30" s="15">
        <v>0.12897858796296297</v>
      </c>
      <c r="G30" s="38"/>
      <c r="H30" s="39"/>
      <c r="I30" s="38"/>
      <c r="J30" s="16"/>
      <c r="K30" s="38"/>
    </row>
    <row r="31" spans="1:11">
      <c r="A31" s="10">
        <v>21</v>
      </c>
      <c r="B31" s="57" t="s">
        <v>285</v>
      </c>
      <c r="C31" s="38">
        <v>2.8660832960000002</v>
      </c>
      <c r="D31" s="15">
        <f t="shared" si="0"/>
        <v>0.17644819345941687</v>
      </c>
      <c r="E31" s="15">
        <f t="shared" si="1"/>
        <v>8.2930650925925928E-2</v>
      </c>
      <c r="F31" s="15">
        <v>0.12783092592592593</v>
      </c>
      <c r="G31" s="38"/>
      <c r="H31" s="39"/>
      <c r="I31" s="38"/>
      <c r="J31" s="16"/>
      <c r="K31" s="38"/>
    </row>
    <row r="32" spans="1:11">
      <c r="A32" s="10">
        <v>22</v>
      </c>
      <c r="B32" s="57" t="s">
        <v>281</v>
      </c>
      <c r="C32" s="38">
        <v>2.8345920000000002</v>
      </c>
      <c r="D32" s="15">
        <f t="shared" si="0"/>
        <v>0.1745094562647754</v>
      </c>
      <c r="E32" s="15">
        <f t="shared" si="1"/>
        <v>8.201944444444445E-2</v>
      </c>
      <c r="F32" s="15">
        <v>0.11381944444444445</v>
      </c>
      <c r="G32" s="38"/>
      <c r="H32" s="39"/>
      <c r="I32" s="38"/>
      <c r="J32" s="16"/>
      <c r="K32" s="38"/>
    </row>
    <row r="33" spans="1:11">
      <c r="A33" s="10">
        <v>23</v>
      </c>
      <c r="B33" s="57" t="s">
        <v>312</v>
      </c>
      <c r="C33" s="38">
        <v>2.7979440102400002</v>
      </c>
      <c r="D33" s="15">
        <f t="shared" si="0"/>
        <v>0.1722532512214342</v>
      </c>
      <c r="E33" s="15">
        <f t="shared" si="1"/>
        <v>8.0959028074074069E-2</v>
      </c>
      <c r="F33" s="15">
        <v>0.12396227407407408</v>
      </c>
      <c r="G33" s="38"/>
      <c r="H33" s="39"/>
      <c r="I33" s="38"/>
      <c r="J33" s="16"/>
      <c r="K33" s="38"/>
    </row>
    <row r="34" spans="1:11">
      <c r="A34" s="10">
        <v>24</v>
      </c>
      <c r="B34" s="57" t="s">
        <v>290</v>
      </c>
      <c r="C34" s="38">
        <v>2.6578048000000005</v>
      </c>
      <c r="D34" s="15">
        <f t="shared" si="0"/>
        <v>0.16362568951930656</v>
      </c>
      <c r="E34" s="15">
        <f t="shared" si="1"/>
        <v>7.6904074074074083E-2</v>
      </c>
      <c r="F34" s="15">
        <v>0.15057407407407408</v>
      </c>
      <c r="G34" s="38"/>
      <c r="H34" s="39"/>
      <c r="I34" s="38"/>
      <c r="J34" s="16"/>
      <c r="K34" s="38"/>
    </row>
    <row r="35" spans="1:11">
      <c r="A35" s="10">
        <v>25</v>
      </c>
      <c r="B35" s="57" t="s">
        <v>302</v>
      </c>
      <c r="C35" s="38">
        <v>2.5152000000000001</v>
      </c>
      <c r="D35" s="15">
        <f t="shared" si="0"/>
        <v>0.15484633569739953</v>
      </c>
      <c r="E35" s="15">
        <f t="shared" si="1"/>
        <v>7.2777777777777775E-2</v>
      </c>
      <c r="F35" s="15">
        <v>0.10590277777777778</v>
      </c>
      <c r="G35" s="38"/>
      <c r="H35" s="39"/>
      <c r="I35" s="38"/>
      <c r="J35" s="16"/>
      <c r="K35" s="38"/>
    </row>
    <row r="36" spans="1:11">
      <c r="A36" s="10">
        <v>26</v>
      </c>
      <c r="B36" s="58" t="s">
        <v>428</v>
      </c>
      <c r="C36" s="38">
        <v>2.5099839219200004</v>
      </c>
      <c r="D36" s="15">
        <f t="shared" si="0"/>
        <v>0.15452521189913318</v>
      </c>
      <c r="E36" s="15">
        <f t="shared" si="1"/>
        <v>7.2626849592592593E-2</v>
      </c>
      <c r="F36" s="15">
        <v>0.13821069259259261</v>
      </c>
      <c r="G36" s="38"/>
      <c r="H36" s="39"/>
      <c r="I36" s="38"/>
      <c r="J36" s="16"/>
      <c r="K36" s="38"/>
    </row>
    <row r="37" spans="1:11">
      <c r="A37" s="10">
        <v>27</v>
      </c>
      <c r="B37" s="57" t="s">
        <v>321</v>
      </c>
      <c r="C37" s="38">
        <v>2.4658971737599997</v>
      </c>
      <c r="D37" s="15">
        <f t="shared" si="0"/>
        <v>0.15181104546887308</v>
      </c>
      <c r="E37" s="15">
        <f t="shared" si="1"/>
        <v>7.1351191370370354E-2</v>
      </c>
      <c r="F37" s="15">
        <v>0.13060217037037036</v>
      </c>
      <c r="G37" s="38"/>
      <c r="H37" s="39"/>
      <c r="I37" s="38"/>
      <c r="J37" s="16"/>
      <c r="K37" s="38"/>
    </row>
    <row r="38" spans="1:11">
      <c r="A38" s="10">
        <v>28</v>
      </c>
      <c r="B38" s="57" t="s">
        <v>306</v>
      </c>
      <c r="C38" s="38">
        <v>2.4222672000000003</v>
      </c>
      <c r="D38" s="15">
        <f t="shared" si="0"/>
        <v>0.14912500000000001</v>
      </c>
      <c r="E38" s="15">
        <f t="shared" si="1"/>
        <v>7.0088750000000005E-2</v>
      </c>
      <c r="F38" s="15">
        <v>0.14912500000000001</v>
      </c>
      <c r="G38" s="38"/>
      <c r="H38" s="39"/>
      <c r="I38" s="38"/>
      <c r="J38" s="16"/>
      <c r="K38" s="38"/>
    </row>
    <row r="39" spans="1:11">
      <c r="A39" s="10">
        <v>29</v>
      </c>
      <c r="B39" s="57" t="s">
        <v>295</v>
      </c>
      <c r="C39" s="38">
        <v>2.4029261013504004</v>
      </c>
      <c r="D39" s="15">
        <f t="shared" si="0"/>
        <v>0.14793428027423169</v>
      </c>
      <c r="E39" s="15">
        <f t="shared" si="1"/>
        <v>6.9529111728888898E-2</v>
      </c>
      <c r="F39" s="15">
        <v>0.1146526608888889</v>
      </c>
      <c r="G39" s="38"/>
      <c r="H39" s="39"/>
      <c r="I39" s="38"/>
      <c r="J39" s="16"/>
      <c r="K39" s="38"/>
    </row>
    <row r="40" spans="1:11">
      <c r="A40" s="10">
        <v>30</v>
      </c>
      <c r="B40" s="57" t="s">
        <v>289</v>
      </c>
      <c r="C40" s="38">
        <v>2.3843200000000002</v>
      </c>
      <c r="D40" s="15">
        <f t="shared" si="0"/>
        <v>0.14678881008668243</v>
      </c>
      <c r="E40" s="15">
        <f t="shared" si="1"/>
        <v>6.8990740740740741E-2</v>
      </c>
      <c r="F40" s="15">
        <v>0.12199074074074075</v>
      </c>
      <c r="G40" s="38"/>
      <c r="H40" s="39"/>
      <c r="I40" s="38"/>
      <c r="J40" s="16"/>
      <c r="K40" s="38"/>
    </row>
    <row r="41" spans="1:11">
      <c r="A41" s="10">
        <v>31</v>
      </c>
      <c r="B41" s="57" t="s">
        <v>303</v>
      </c>
      <c r="C41" s="38">
        <v>2.3345919999999998</v>
      </c>
      <c r="D41" s="15">
        <f t="shared" si="0"/>
        <v>0.14372734436564222</v>
      </c>
      <c r="E41" s="15">
        <f t="shared" si="1"/>
        <v>6.7551851851851835E-2</v>
      </c>
      <c r="F41" s="15">
        <v>9.9351851851851858E-2</v>
      </c>
      <c r="G41" s="38"/>
      <c r="H41" s="39"/>
      <c r="I41" s="38"/>
      <c r="J41" s="16"/>
      <c r="K41" s="38"/>
    </row>
    <row r="42" spans="1:11">
      <c r="A42" s="10">
        <v>32</v>
      </c>
      <c r="B42" s="57" t="s">
        <v>298</v>
      </c>
      <c r="C42" s="38">
        <v>2.2194016000000003</v>
      </c>
      <c r="D42" s="15">
        <f t="shared" si="0"/>
        <v>0.13663573680063043</v>
      </c>
      <c r="E42" s="15">
        <f t="shared" si="1"/>
        <v>6.4218796296296302E-2</v>
      </c>
      <c r="F42" s="15">
        <v>0.11085879629629627</v>
      </c>
      <c r="G42" s="38"/>
      <c r="H42" s="39"/>
      <c r="I42" s="38"/>
      <c r="J42" s="16"/>
      <c r="K42" s="38"/>
    </row>
    <row r="43" spans="1:11">
      <c r="A43" s="10">
        <v>33</v>
      </c>
      <c r="B43" s="57" t="s">
        <v>305</v>
      </c>
      <c r="C43" s="38">
        <v>2.1870240000000001</v>
      </c>
      <c r="D43" s="15">
        <f t="shared" ref="D43:D62" si="2">C43/$D$68</f>
        <v>0.13464243498817965</v>
      </c>
      <c r="E43" s="15">
        <f t="shared" ref="E43:E62" si="3">C43/$D$67</f>
        <v>6.3281944444444446E-2</v>
      </c>
      <c r="F43" s="15">
        <v>0.10038194444444445</v>
      </c>
      <c r="G43" s="38"/>
      <c r="H43" s="39"/>
      <c r="I43" s="38"/>
      <c r="J43" s="16"/>
      <c r="K43" s="38"/>
    </row>
    <row r="44" spans="1:11">
      <c r="A44" s="10">
        <v>34</v>
      </c>
      <c r="B44" s="57" t="s">
        <v>296</v>
      </c>
      <c r="C44" s="38">
        <v>2.1670240000000001</v>
      </c>
      <c r="D44" s="15">
        <f t="shared" si="2"/>
        <v>0.13341115051221433</v>
      </c>
      <c r="E44" s="15">
        <f t="shared" si="3"/>
        <v>6.270324074074074E-2</v>
      </c>
      <c r="F44" s="15">
        <v>9.9803240740740734E-2</v>
      </c>
      <c r="G44" s="38"/>
      <c r="H44" s="39"/>
      <c r="I44" s="38"/>
      <c r="J44" s="16"/>
      <c r="K44" s="38"/>
    </row>
    <row r="45" spans="1:11">
      <c r="A45" s="10">
        <v>35</v>
      </c>
      <c r="B45" s="57" t="s">
        <v>283</v>
      </c>
      <c r="C45" s="38">
        <v>2.1654272000000003</v>
      </c>
      <c r="D45" s="15">
        <f t="shared" si="2"/>
        <v>0.13331284475965327</v>
      </c>
      <c r="E45" s="15">
        <f t="shared" si="3"/>
        <v>6.2657037037037039E-2</v>
      </c>
      <c r="F45" s="15">
        <v>0.12678703703703703</v>
      </c>
      <c r="G45" s="38"/>
      <c r="H45" s="39"/>
      <c r="I45" s="38"/>
      <c r="J45" s="16"/>
      <c r="K45" s="38"/>
    </row>
    <row r="46" spans="1:11">
      <c r="A46" s="10">
        <v>36</v>
      </c>
      <c r="B46" s="57" t="s">
        <v>304</v>
      </c>
      <c r="C46" s="38">
        <v>2.1313344000000001</v>
      </c>
      <c r="D46" s="15">
        <f t="shared" si="2"/>
        <v>0.13121394799054373</v>
      </c>
      <c r="E46" s="15">
        <f t="shared" si="3"/>
        <v>6.1670555555555555E-2</v>
      </c>
      <c r="F46" s="15">
        <v>0.10380555555555557</v>
      </c>
      <c r="G46" s="38"/>
      <c r="H46" s="39"/>
      <c r="I46" s="38"/>
      <c r="J46" s="16"/>
      <c r="K46" s="38"/>
    </row>
    <row r="47" spans="1:11">
      <c r="A47" s="10">
        <v>37</v>
      </c>
      <c r="B47" s="57" t="s">
        <v>300</v>
      </c>
      <c r="C47" s="38">
        <v>2.074592</v>
      </c>
      <c r="D47" s="15">
        <f t="shared" si="2"/>
        <v>0.12772064617809298</v>
      </c>
      <c r="E47" s="15">
        <f t="shared" si="3"/>
        <v>6.0028703703703702E-2</v>
      </c>
      <c r="F47" s="15">
        <v>9.182870370370369E-2</v>
      </c>
      <c r="G47" s="38"/>
      <c r="H47" s="39"/>
      <c r="I47" s="38"/>
      <c r="J47" s="16"/>
      <c r="K47" s="38"/>
    </row>
    <row r="48" spans="1:11">
      <c r="A48" s="10">
        <v>38</v>
      </c>
      <c r="B48" s="57" t="s">
        <v>311</v>
      </c>
      <c r="C48" s="38">
        <v>1.9761120000000001</v>
      </c>
      <c r="D48" s="15">
        <f t="shared" si="2"/>
        <v>0.12165780141843971</v>
      </c>
      <c r="E48" s="15">
        <f t="shared" si="3"/>
        <v>5.7179166666666663E-2</v>
      </c>
      <c r="F48" s="15">
        <v>9.2291666666666661E-2</v>
      </c>
      <c r="G48" s="38"/>
      <c r="H48" s="39"/>
      <c r="I48" s="38"/>
      <c r="J48" s="16"/>
      <c r="K48" s="38"/>
    </row>
    <row r="49" spans="1:11">
      <c r="A49" s="10">
        <v>39</v>
      </c>
      <c r="B49" s="57" t="s">
        <v>331</v>
      </c>
      <c r="C49" s="38">
        <v>1.9183663744000001</v>
      </c>
      <c r="D49" s="15">
        <f t="shared" si="2"/>
        <v>0.11810273680063041</v>
      </c>
      <c r="E49" s="15">
        <f t="shared" si="3"/>
        <v>5.5508286296296297E-2</v>
      </c>
      <c r="F49" s="15">
        <v>9.2325796296296309E-2</v>
      </c>
      <c r="G49" s="38"/>
      <c r="H49" s="39"/>
      <c r="I49" s="38"/>
      <c r="J49" s="16"/>
      <c r="K49" s="38"/>
    </row>
    <row r="50" spans="1:11">
      <c r="A50" s="10">
        <v>40</v>
      </c>
      <c r="B50" s="57" t="s">
        <v>318</v>
      </c>
      <c r="C50" s="38">
        <v>1.8930183680000001</v>
      </c>
      <c r="D50" s="15">
        <f t="shared" si="2"/>
        <v>0.11654220646178093</v>
      </c>
      <c r="E50" s="15">
        <f t="shared" si="3"/>
        <v>5.477483703703704E-2</v>
      </c>
      <c r="F50" s="15">
        <v>7.4777037037037031E-2</v>
      </c>
      <c r="G50" s="38"/>
      <c r="H50" s="39"/>
      <c r="I50" s="38"/>
      <c r="J50" s="16"/>
      <c r="K50" s="38"/>
    </row>
    <row r="51" spans="1:11">
      <c r="A51" s="10">
        <v>41</v>
      </c>
      <c r="B51" s="57" t="s">
        <v>310</v>
      </c>
      <c r="C51" s="38">
        <v>1.8870240000000003</v>
      </c>
      <c r="D51" s="15">
        <f t="shared" si="2"/>
        <v>0.11617316784869977</v>
      </c>
      <c r="E51" s="15">
        <f t="shared" si="3"/>
        <v>5.4601388888888894E-2</v>
      </c>
      <c r="F51" s="15">
        <v>9.1701388888888902E-2</v>
      </c>
      <c r="G51" s="38"/>
      <c r="H51" s="39"/>
      <c r="I51" s="38"/>
      <c r="J51" s="16"/>
      <c r="K51" s="38"/>
    </row>
    <row r="52" spans="1:11">
      <c r="A52" s="10">
        <v>42</v>
      </c>
      <c r="B52" s="57" t="s">
        <v>314</v>
      </c>
      <c r="C52" s="38">
        <v>1.8470240000000002</v>
      </c>
      <c r="D52" s="15">
        <f t="shared" si="2"/>
        <v>0.11371059889676911</v>
      </c>
      <c r="E52" s="15">
        <f t="shared" si="3"/>
        <v>5.3443981481481481E-2</v>
      </c>
      <c r="F52" s="15">
        <v>9.0543981481481489E-2</v>
      </c>
      <c r="G52" s="38"/>
      <c r="H52" s="39"/>
      <c r="I52" s="38"/>
      <c r="J52" s="16"/>
      <c r="K52" s="38"/>
    </row>
    <row r="53" spans="1:11">
      <c r="A53" s="10">
        <v>43</v>
      </c>
      <c r="B53" s="57" t="s">
        <v>327</v>
      </c>
      <c r="C53" s="38">
        <v>1.7521599999999999</v>
      </c>
      <c r="D53" s="15">
        <f t="shared" si="2"/>
        <v>0.10787037037037035</v>
      </c>
      <c r="E53" s="15">
        <f t="shared" si="3"/>
        <v>5.069907407407407E-2</v>
      </c>
      <c r="F53" s="15">
        <v>7.7199074074074073E-2</v>
      </c>
      <c r="G53" s="38"/>
      <c r="H53" s="39"/>
      <c r="I53" s="38"/>
      <c r="J53" s="16"/>
      <c r="K53" s="38"/>
    </row>
    <row r="54" spans="1:11">
      <c r="A54" s="10">
        <v>44</v>
      </c>
      <c r="B54" s="57" t="s">
        <v>287</v>
      </c>
      <c r="C54" s="38">
        <v>1.7114432000000002</v>
      </c>
      <c r="D54" s="15">
        <f t="shared" si="2"/>
        <v>0.10536367218282112</v>
      </c>
      <c r="E54" s="15">
        <f t="shared" si="3"/>
        <v>4.9520925925925927E-2</v>
      </c>
      <c r="F54" s="15">
        <v>8.3175925925925931E-2</v>
      </c>
      <c r="G54" s="38"/>
      <c r="H54" s="39"/>
      <c r="I54" s="38"/>
      <c r="J54" s="16"/>
      <c r="K54" s="38"/>
    </row>
    <row r="55" spans="1:11">
      <c r="A55" s="10">
        <v>45</v>
      </c>
      <c r="B55" s="57" t="s">
        <v>307</v>
      </c>
      <c r="C55" s="38">
        <v>1.70912</v>
      </c>
      <c r="D55" s="15">
        <f t="shared" si="2"/>
        <v>0.10522064617809297</v>
      </c>
      <c r="E55" s="15">
        <f t="shared" si="3"/>
        <v>4.9453703703703701E-2</v>
      </c>
      <c r="F55" s="15">
        <v>6.9328703703703698E-2</v>
      </c>
      <c r="G55" s="76"/>
      <c r="H55" s="39"/>
      <c r="I55" s="38"/>
      <c r="J55" s="16"/>
      <c r="K55" s="38"/>
    </row>
    <row r="56" spans="1:11">
      <c r="A56" s="10">
        <v>46</v>
      </c>
      <c r="B56" s="57" t="s">
        <v>330</v>
      </c>
      <c r="C56" s="38">
        <v>1.6930029019814401</v>
      </c>
      <c r="D56" s="15">
        <f t="shared" si="2"/>
        <v>0.10422840954869976</v>
      </c>
      <c r="E56" s="15">
        <f t="shared" si="3"/>
        <v>4.8987352487888887E-2</v>
      </c>
      <c r="F56" s="15">
        <v>7.9756630588888891E-2</v>
      </c>
      <c r="G56" s="38"/>
      <c r="H56" s="39"/>
      <c r="I56" s="38"/>
      <c r="J56" s="16"/>
      <c r="K56" s="38"/>
    </row>
    <row r="57" spans="1:11">
      <c r="A57" s="10">
        <v>47</v>
      </c>
      <c r="B57" s="57" t="s">
        <v>292</v>
      </c>
      <c r="C57" s="38">
        <v>1.641454752</v>
      </c>
      <c r="D57" s="15">
        <f t="shared" si="2"/>
        <v>0.10105488770685578</v>
      </c>
      <c r="E57" s="15">
        <f t="shared" si="3"/>
        <v>4.7495797222222219E-2</v>
      </c>
      <c r="F57" s="15">
        <v>7.9519722222222214E-2</v>
      </c>
      <c r="G57" s="38"/>
      <c r="H57" s="39"/>
      <c r="I57" s="38"/>
      <c r="J57" s="16"/>
      <c r="K57" s="38"/>
    </row>
    <row r="58" spans="1:11">
      <c r="A58" s="10">
        <v>48</v>
      </c>
      <c r="B58" s="57" t="s">
        <v>309</v>
      </c>
      <c r="C58" s="38">
        <v>1.6397377075200001</v>
      </c>
      <c r="D58" s="15">
        <f t="shared" si="2"/>
        <v>0.10094917919621749</v>
      </c>
      <c r="E58" s="15">
        <f t="shared" si="3"/>
        <v>4.7446114222222224E-2</v>
      </c>
      <c r="F58" s="15">
        <v>5.0749711111111102E-2</v>
      </c>
      <c r="G58" s="38"/>
      <c r="H58" s="39"/>
      <c r="I58" s="38"/>
      <c r="J58" s="16"/>
      <c r="K58" s="38"/>
    </row>
    <row r="59" spans="1:11">
      <c r="A59" s="10">
        <v>49</v>
      </c>
      <c r="B59" s="57" t="s">
        <v>316</v>
      </c>
      <c r="C59" s="38">
        <v>1.5266255326720002</v>
      </c>
      <c r="D59" s="15">
        <f t="shared" si="2"/>
        <v>9.3985515949566584E-2</v>
      </c>
      <c r="E59" s="15">
        <f t="shared" si="3"/>
        <v>4.4173192496296296E-2</v>
      </c>
      <c r="F59" s="15">
        <v>8.5828256296296299E-2</v>
      </c>
      <c r="G59" s="38"/>
      <c r="H59" s="39"/>
      <c r="I59" s="38"/>
      <c r="J59" s="16"/>
      <c r="K59" s="38"/>
    </row>
    <row r="60" spans="1:11">
      <c r="A60" s="10">
        <v>50</v>
      </c>
      <c r="B60" s="57" t="s">
        <v>326</v>
      </c>
      <c r="C60" s="38">
        <v>1.4456448000000002</v>
      </c>
      <c r="D60" s="15">
        <f t="shared" si="2"/>
        <v>8.8999999999999996E-2</v>
      </c>
      <c r="E60" s="15">
        <f t="shared" si="3"/>
        <v>4.1829999999999999E-2</v>
      </c>
      <c r="F60" s="15">
        <v>8.8999999999999996E-2</v>
      </c>
      <c r="G60" s="38"/>
      <c r="H60" s="39"/>
      <c r="I60" s="38"/>
      <c r="J60" s="16"/>
      <c r="K60" s="38"/>
    </row>
    <row r="61" spans="1:11">
      <c r="A61" s="10">
        <v>51</v>
      </c>
      <c r="B61" s="57" t="s">
        <v>288</v>
      </c>
      <c r="C61" s="38">
        <v>1.4321600000000001</v>
      </c>
      <c r="D61" s="15">
        <f t="shared" si="2"/>
        <v>8.8169818754925133E-2</v>
      </c>
      <c r="E61" s="15">
        <f t="shared" si="3"/>
        <v>4.1439814814814818E-2</v>
      </c>
      <c r="F61" s="15">
        <v>6.7939814814814814E-2</v>
      </c>
      <c r="G61" s="38"/>
      <c r="H61" s="39"/>
      <c r="I61" s="38"/>
      <c r="J61" s="16"/>
      <c r="K61" s="38"/>
    </row>
    <row r="62" spans="1:11">
      <c r="A62" s="10">
        <v>52</v>
      </c>
      <c r="B62" s="57" t="s">
        <v>293</v>
      </c>
      <c r="C62" s="38">
        <v>1</v>
      </c>
      <c r="D62" s="15">
        <f t="shared" si="2"/>
        <v>6.1564223798266343E-2</v>
      </c>
      <c r="E62" s="15">
        <f t="shared" si="3"/>
        <v>2.8935185185185182E-2</v>
      </c>
      <c r="F62" s="15">
        <v>2.8935185185185182E-2</v>
      </c>
      <c r="G62" s="38"/>
      <c r="H62" s="39"/>
      <c r="I62" s="38"/>
      <c r="J62" s="16"/>
      <c r="K62" s="38"/>
    </row>
    <row r="65" spans="1:6">
      <c r="A65" s="88" t="s">
        <v>444</v>
      </c>
      <c r="B65" s="88"/>
      <c r="C65" s="88"/>
      <c r="D65" s="88"/>
      <c r="E65" s="88"/>
    </row>
    <row r="66" spans="1:6">
      <c r="D66" s="10" t="s">
        <v>445</v>
      </c>
      <c r="E66" s="10" t="s">
        <v>446</v>
      </c>
    </row>
    <row r="67" spans="1:6">
      <c r="A67" s="8" t="s">
        <v>447</v>
      </c>
      <c r="D67" s="60">
        <v>34.56</v>
      </c>
      <c r="E67" s="77">
        <v>1</v>
      </c>
    </row>
    <row r="68" spans="1:6">
      <c r="A68" s="8" t="s">
        <v>448</v>
      </c>
      <c r="D68" s="60">
        <f>D67*E68</f>
        <v>16.243200000000002</v>
      </c>
      <c r="E68" s="53">
        <v>0.47</v>
      </c>
    </row>
    <row r="69" spans="1:6">
      <c r="A69" s="8" t="s">
        <v>449</v>
      </c>
      <c r="D69" s="60">
        <f>D67-D68</f>
        <v>18.316800000000001</v>
      </c>
      <c r="E69" s="53">
        <v>0.53</v>
      </c>
    </row>
    <row r="71" spans="1:6">
      <c r="A71" s="8"/>
    </row>
    <row r="72" spans="1:6" ht="81.75" customHeight="1">
      <c r="A72" s="92" t="s">
        <v>523</v>
      </c>
      <c r="B72" s="92"/>
      <c r="C72" s="92"/>
      <c r="D72" s="92"/>
      <c r="E72" s="92"/>
      <c r="F72" s="92"/>
    </row>
    <row r="73" spans="1:6">
      <c r="A73" s="8"/>
      <c r="B73" s="8"/>
    </row>
    <row r="74" spans="1:6">
      <c r="A74" s="8"/>
    </row>
    <row r="75" spans="1:6">
      <c r="A75" s="8"/>
    </row>
  </sheetData>
  <sortState xmlns:xlrd2="http://schemas.microsoft.com/office/spreadsheetml/2017/richdata2" ref="B11:H62">
    <sortCondition descending="1" ref="C11:C62"/>
  </sortState>
  <mergeCells count="4">
    <mergeCell ref="A1:F1"/>
    <mergeCell ref="A2:F2"/>
    <mergeCell ref="A65:E65"/>
    <mergeCell ref="A72:F72"/>
  </mergeCells>
  <printOptions gridLine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B3D99-EB5B-4964-BCDF-C88D4230EFC3}">
  <dimension ref="A1:C29"/>
  <sheetViews>
    <sheetView workbookViewId="0">
      <selection activeCell="B10" sqref="B10"/>
    </sheetView>
  </sheetViews>
  <sheetFormatPr defaultRowHeight="15"/>
  <cols>
    <col min="1" max="1" width="16" customWidth="1"/>
    <col min="2" max="2" width="13.28515625" style="10" customWidth="1"/>
    <col min="3" max="3" width="52.28515625" customWidth="1"/>
    <col min="4" max="4" width="48.42578125" customWidth="1"/>
  </cols>
  <sheetData>
    <row r="1" spans="1:3">
      <c r="A1" s="88" t="s">
        <v>397</v>
      </c>
      <c r="B1" s="88"/>
      <c r="C1" s="88"/>
    </row>
    <row r="2" spans="1:3" ht="15.75">
      <c r="A2" s="87" t="s">
        <v>372</v>
      </c>
      <c r="B2" s="87"/>
      <c r="C2" s="87"/>
    </row>
    <row r="3" spans="1:3" ht="15.75">
      <c r="A3" s="87" t="s">
        <v>506</v>
      </c>
      <c r="B3" s="87"/>
      <c r="C3" s="87"/>
    </row>
    <row r="4" spans="1:3">
      <c r="A4" s="37" t="s">
        <v>370</v>
      </c>
      <c r="B4" s="37" t="s">
        <v>368</v>
      </c>
      <c r="C4" s="37" t="s">
        <v>369</v>
      </c>
    </row>
    <row r="5" spans="1:3">
      <c r="A5" s="10"/>
      <c r="C5" s="10"/>
    </row>
    <row r="6" spans="1:3">
      <c r="A6" t="s">
        <v>18</v>
      </c>
      <c r="B6" s="15">
        <v>8.33425E-2</v>
      </c>
      <c r="C6" t="str">
        <f>'[4]APPENDIX C'!D28</f>
        <v>13.25% times FCC safe harbor</v>
      </c>
    </row>
    <row r="7" spans="1:3">
      <c r="A7" t="s">
        <v>188</v>
      </c>
      <c r="B7" s="15">
        <v>7.5479999999999992E-2</v>
      </c>
      <c r="C7" t="str">
        <f>'[4]APPENDIX C'!D320</f>
        <v>12.0% times FCC safe harbor</v>
      </c>
    </row>
    <row r="8" spans="1:3">
      <c r="A8" t="s">
        <v>64</v>
      </c>
      <c r="B8" s="15">
        <v>7.1517299999999992E-2</v>
      </c>
      <c r="C8" t="str">
        <f>'[4]APPENDIX C'!D117</f>
        <v>11.37% x FCC safe harbor</v>
      </c>
    </row>
    <row r="9" spans="1:3">
      <c r="A9" t="s">
        <v>367</v>
      </c>
      <c r="B9" s="15">
        <v>6.2899999999999998E-2</v>
      </c>
      <c r="C9" t="str">
        <f>'[4]APPENDIX C'!D14</f>
        <v>10.0% times FCC safe harbor</v>
      </c>
    </row>
    <row r="10" spans="1:3">
      <c r="A10" t="s">
        <v>138</v>
      </c>
      <c r="B10" s="15">
        <v>5.3530092592592594E-2</v>
      </c>
      <c r="C10" t="str">
        <f>'[4]APPENDIX C'!D263</f>
        <v>$1.85 per line per month</v>
      </c>
    </row>
    <row r="11" spans="1:3">
      <c r="A11" t="s">
        <v>105</v>
      </c>
      <c r="B11" s="15">
        <v>5.063657407407407E-2</v>
      </c>
      <c r="C11" t="str">
        <f>'[4]APPENDIX C'!D193</f>
        <v>$1.75 per line per month</v>
      </c>
    </row>
    <row r="12" spans="1:3">
      <c r="A12" t="s">
        <v>73</v>
      </c>
      <c r="B12" s="15">
        <v>4.4849537037037035E-2</v>
      </c>
      <c r="C12" t="s">
        <v>371</v>
      </c>
    </row>
    <row r="13" spans="1:3">
      <c r="A13" t="s">
        <v>139</v>
      </c>
      <c r="B13" s="15">
        <v>3.7739999999999996E-2</v>
      </c>
      <c r="C13" t="s">
        <v>426</v>
      </c>
    </row>
    <row r="14" spans="1:3">
      <c r="A14" t="s">
        <v>24</v>
      </c>
      <c r="B14" s="15">
        <v>3.2118055555555559E-2</v>
      </c>
      <c r="C14" t="str">
        <f>'[4]APPENDIX C'!D37</f>
        <v>$1.11 per line effective 4/1/2023</v>
      </c>
    </row>
    <row r="15" spans="1:3">
      <c r="A15" t="s">
        <v>117</v>
      </c>
      <c r="B15" s="15">
        <v>2.8067129629629626E-2</v>
      </c>
      <c r="C15" t="str">
        <f>'[4]APPENDIX C'!D221</f>
        <v>$0.97 per line per month</v>
      </c>
    </row>
    <row r="16" spans="1:3">
      <c r="A16" t="s">
        <v>167</v>
      </c>
      <c r="B16" s="15">
        <v>2.4E-2</v>
      </c>
      <c r="C16" s="16" t="str">
        <f>'[4]APPENDIX C'!D336</f>
        <v>Funds 911 and other programs</v>
      </c>
    </row>
    <row r="17" spans="1:3">
      <c r="A17" t="s">
        <v>148</v>
      </c>
      <c r="B17" s="15">
        <v>1.6794299999999998E-2</v>
      </c>
      <c r="C17" t="str">
        <f>'[4]APPENDIX C'!D297</f>
        <v>2.67% times FCC safe harbor</v>
      </c>
    </row>
    <row r="18" spans="1:3">
      <c r="A18" t="s">
        <v>29</v>
      </c>
      <c r="B18" s="15">
        <v>1.6354E-2</v>
      </c>
      <c r="C18" t="str">
        <f>'[4]APPENDIX C'!D46</f>
        <v>2.6% times FCC safe harbor</v>
      </c>
    </row>
    <row r="19" spans="1:3">
      <c r="A19" t="s">
        <v>178</v>
      </c>
      <c r="B19" s="15">
        <v>1.4467000000000001E-2</v>
      </c>
      <c r="C19" t="str">
        <f>'[4]APPENDIX C'!D373</f>
        <v>2.3% times FCC safe harbor</v>
      </c>
    </row>
    <row r="20" spans="1:3">
      <c r="A20" t="s">
        <v>57</v>
      </c>
      <c r="B20" s="15">
        <v>1.42154E-2</v>
      </c>
      <c r="C20" t="str">
        <f>'[4]APPENDIX C'!D102</f>
        <v>2.3% times FCC safe harbor</v>
      </c>
    </row>
    <row r="21" spans="1:3">
      <c r="A21" t="s">
        <v>76</v>
      </c>
      <c r="B21" s="15">
        <f>'APPENDIX C'!C140</f>
        <v>1.2731481481481481E-2</v>
      </c>
      <c r="C21" t="str">
        <f>'[4]APPENDIX C'!D140</f>
        <v>$0.44 per line</v>
      </c>
    </row>
    <row r="22" spans="1:3">
      <c r="A22" t="s">
        <v>373</v>
      </c>
      <c r="B22" s="15">
        <v>1.0072747621712366E-2</v>
      </c>
      <c r="C22" t="s">
        <v>467</v>
      </c>
    </row>
    <row r="23" spans="1:3">
      <c r="A23" t="s">
        <v>248</v>
      </c>
      <c r="B23" s="15">
        <v>8.7431000000000002E-3</v>
      </c>
      <c r="C23" t="str">
        <f>'[4]APPENDIX C'!D283</f>
        <v>1.39% times FCC safe harbor</v>
      </c>
    </row>
    <row r="24" spans="1:3">
      <c r="A24" t="s">
        <v>175</v>
      </c>
      <c r="B24" s="15">
        <v>3.0552417E-3</v>
      </c>
      <c r="C24" t="str">
        <f>'[4]APPENDIX C'!D366</f>
        <v>0.486% times FCC safe harbor</v>
      </c>
    </row>
    <row r="25" spans="1:3">
      <c r="A25" t="s">
        <v>109</v>
      </c>
      <c r="B25" s="15">
        <v>2.1386E-3</v>
      </c>
      <c r="C25" t="str">
        <f>'[4]APPENDIX C'!D202</f>
        <v>0.34% times FCC Safe Harbor</v>
      </c>
    </row>
    <row r="26" spans="1:3">
      <c r="A26" t="s">
        <v>66</v>
      </c>
      <c r="B26" s="15">
        <v>1.736111111111111E-3</v>
      </c>
      <c r="C26" t="str">
        <f>'[4]APPENDIX C'!D124</f>
        <v>$0.06 per line per month</v>
      </c>
    </row>
    <row r="27" spans="1:3">
      <c r="A27" t="s">
        <v>82</v>
      </c>
      <c r="B27" s="15">
        <v>1.4467592592592592E-3</v>
      </c>
      <c r="C27" t="str">
        <f>'[4]APPENDIX C'!D150</f>
        <v>$0.05 per account</v>
      </c>
    </row>
    <row r="29" spans="1:3">
      <c r="A29" t="s">
        <v>508</v>
      </c>
    </row>
  </sheetData>
  <sortState xmlns:xlrd2="http://schemas.microsoft.com/office/spreadsheetml/2017/richdata2" ref="A6:C27">
    <sortCondition descending="1" ref="B6:B27"/>
  </sortState>
  <mergeCells count="3">
    <mergeCell ref="A2:C2"/>
    <mergeCell ref="A3:C3"/>
    <mergeCell ref="A1:C1"/>
  </mergeCells>
  <printOptions gridLines="1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13AC8-D186-4A6F-968C-97AB8EC3292D}">
  <sheetPr>
    <pageSetUpPr fitToPage="1"/>
  </sheetPr>
  <dimension ref="A1:N395"/>
  <sheetViews>
    <sheetView topLeftCell="A248" workbookViewId="0">
      <selection activeCell="D274" sqref="D274"/>
    </sheetView>
  </sheetViews>
  <sheetFormatPr defaultColWidth="8.85546875" defaultRowHeight="15"/>
  <cols>
    <col min="1" max="1" width="13.7109375" customWidth="1"/>
    <col min="2" max="2" width="39.85546875" customWidth="1"/>
    <col min="4" max="4" width="49.5703125" customWidth="1"/>
    <col min="7" max="7" width="11.42578125" customWidth="1"/>
    <col min="8" max="8" width="14.85546875" customWidth="1"/>
    <col min="9" max="9" width="36.42578125" customWidth="1"/>
    <col min="10" max="10" width="20.42578125" bestFit="1" customWidth="1"/>
    <col min="11" max="11" width="12.140625" bestFit="1" customWidth="1"/>
    <col min="12" max="12" width="13.28515625" customWidth="1"/>
    <col min="13" max="13" width="10.140625" bestFit="1" customWidth="1"/>
  </cols>
  <sheetData>
    <row r="1" spans="1:4" ht="15.75">
      <c r="A1" s="62" t="s">
        <v>450</v>
      </c>
      <c r="B1" s="1"/>
      <c r="C1" s="1"/>
      <c r="D1" s="1"/>
    </row>
    <row r="2" spans="1:4">
      <c r="A2" s="14" t="s">
        <v>511</v>
      </c>
      <c r="B2" s="2"/>
      <c r="C2" s="2"/>
      <c r="D2" s="2"/>
    </row>
    <row r="3" spans="1:4">
      <c r="A3" s="3"/>
      <c r="C3" s="4"/>
    </row>
    <row r="4" spans="1:4">
      <c r="A4" s="3" t="s">
        <v>0</v>
      </c>
      <c r="B4" s="5" t="s">
        <v>1</v>
      </c>
      <c r="C4" s="6" t="s">
        <v>2</v>
      </c>
      <c r="D4" s="13" t="s">
        <v>3</v>
      </c>
    </row>
    <row r="5" spans="1:4">
      <c r="A5" s="3"/>
      <c r="C5" s="4"/>
    </row>
    <row r="6" spans="1:4">
      <c r="A6" s="3" t="s">
        <v>4</v>
      </c>
      <c r="C6" s="4"/>
    </row>
    <row r="7" spans="1:4">
      <c r="A7" s="3"/>
      <c r="B7" t="s">
        <v>5</v>
      </c>
      <c r="C7" s="61">
        <v>0.06</v>
      </c>
      <c r="D7" t="s">
        <v>6</v>
      </c>
    </row>
    <row r="8" spans="1:4">
      <c r="A8" s="3"/>
      <c r="B8" t="s">
        <v>7</v>
      </c>
      <c r="C8" s="61">
        <f>1.86/A380</f>
        <v>5.3819444444444441E-2</v>
      </c>
      <c r="D8" t="s">
        <v>374</v>
      </c>
    </row>
    <row r="9" spans="1:4">
      <c r="A9" s="3"/>
      <c r="B9" s="3" t="s">
        <v>8</v>
      </c>
      <c r="C9" s="6">
        <f>SUM(C7:C8)</f>
        <v>0.11381944444444445</v>
      </c>
    </row>
    <row r="10" spans="1:4">
      <c r="A10" s="3"/>
      <c r="C10" s="4"/>
    </row>
    <row r="11" spans="1:4">
      <c r="A11" s="3" t="s">
        <v>9</v>
      </c>
      <c r="C11" s="4"/>
    </row>
    <row r="12" spans="1:4">
      <c r="A12" s="3"/>
      <c r="B12" t="s">
        <v>10</v>
      </c>
      <c r="C12" s="61">
        <v>2.5000000000000001E-2</v>
      </c>
      <c r="D12" t="s">
        <v>349</v>
      </c>
    </row>
    <row r="13" spans="1:4">
      <c r="A13" s="7"/>
      <c r="B13" s="9" t="s">
        <v>11</v>
      </c>
      <c r="C13" s="61">
        <f>((2+1.9)/2)/A380</f>
        <v>5.6423611111111105E-2</v>
      </c>
      <c r="D13" t="s">
        <v>335</v>
      </c>
    </row>
    <row r="14" spans="1:4">
      <c r="A14" s="3"/>
      <c r="B14" s="9" t="s">
        <v>12</v>
      </c>
      <c r="C14" s="61">
        <f>10%*$A$382</f>
        <v>6.2899999999999998E-2</v>
      </c>
      <c r="D14" t="s">
        <v>375</v>
      </c>
    </row>
    <row r="15" spans="1:4">
      <c r="A15" s="3"/>
      <c r="B15" s="9" t="s">
        <v>108</v>
      </c>
      <c r="C15" s="61">
        <f>0.01/A380</f>
        <v>2.8935185185185184E-4</v>
      </c>
      <c r="D15" t="s">
        <v>414</v>
      </c>
    </row>
    <row r="16" spans="1:4">
      <c r="A16" s="3"/>
      <c r="B16" s="3" t="s">
        <v>8</v>
      </c>
      <c r="C16" s="6">
        <f>SUM(C12:C15)</f>
        <v>0.14461296296296294</v>
      </c>
      <c r="D16" s="78"/>
    </row>
    <row r="17" spans="1:6">
      <c r="A17" s="3"/>
      <c r="C17" s="4"/>
    </row>
    <row r="18" spans="1:6">
      <c r="A18" s="3" t="s">
        <v>13</v>
      </c>
      <c r="C18" s="4"/>
    </row>
    <row r="19" spans="1:6">
      <c r="A19" s="3"/>
      <c r="B19" t="s">
        <v>14</v>
      </c>
      <c r="C19" s="61">
        <v>5.6000000000000001E-2</v>
      </c>
      <c r="D19" t="s">
        <v>399</v>
      </c>
      <c r="F19" s="63"/>
    </row>
    <row r="20" spans="1:6">
      <c r="A20" s="3"/>
      <c r="B20" s="9" t="s">
        <v>15</v>
      </c>
      <c r="C20" s="61">
        <v>6.0000000000000001E-3</v>
      </c>
      <c r="D20" t="s">
        <v>261</v>
      </c>
    </row>
    <row r="21" spans="1:6">
      <c r="A21" s="3"/>
      <c r="B21" t="s">
        <v>16</v>
      </c>
      <c r="C21" s="73">
        <f>0.118/2</f>
        <v>5.8999999999999997E-2</v>
      </c>
      <c r="D21" t="s">
        <v>376</v>
      </c>
    </row>
    <row r="22" spans="1:6">
      <c r="A22" s="3"/>
      <c r="B22" s="8">
        <v>911</v>
      </c>
      <c r="C22" s="61">
        <f>0.2/A380</f>
        <v>5.7870370370370367E-3</v>
      </c>
      <c r="D22" t="s">
        <v>17</v>
      </c>
    </row>
    <row r="23" spans="1:6">
      <c r="A23" s="3"/>
      <c r="B23" s="3" t="s">
        <v>8</v>
      </c>
      <c r="C23" s="6">
        <f>SUM(C19:C22)</f>
        <v>0.12678703703703703</v>
      </c>
    </row>
    <row r="24" spans="1:6">
      <c r="A24" s="3"/>
      <c r="C24" s="4"/>
    </row>
    <row r="25" spans="1:6">
      <c r="A25" s="3" t="s">
        <v>18</v>
      </c>
      <c r="C25" s="4"/>
    </row>
    <row r="26" spans="1:6">
      <c r="A26" s="3"/>
      <c r="B26" t="s">
        <v>19</v>
      </c>
      <c r="C26" s="61">
        <v>6.5000000000000002E-2</v>
      </c>
      <c r="D26" s="9"/>
    </row>
    <row r="27" spans="1:6">
      <c r="A27" s="3"/>
      <c r="B27" t="s">
        <v>20</v>
      </c>
      <c r="C27" s="61">
        <f>(2.125%+3.25%)/2</f>
        <v>2.6875000000000003E-2</v>
      </c>
      <c r="D27" s="9" t="s">
        <v>456</v>
      </c>
    </row>
    <row r="28" spans="1:6">
      <c r="A28" s="3"/>
      <c r="B28" s="9" t="s">
        <v>21</v>
      </c>
      <c r="C28" s="61">
        <f>13.25%*$A$382</f>
        <v>8.33425E-2</v>
      </c>
      <c r="D28" s="9" t="s">
        <v>468</v>
      </c>
      <c r="F28" s="63"/>
    </row>
    <row r="29" spans="1:6">
      <c r="A29" s="3"/>
      <c r="B29" t="s">
        <v>22</v>
      </c>
      <c r="C29" s="61">
        <f>1.3/A380</f>
        <v>3.7615740740740741E-2</v>
      </c>
      <c r="D29" t="s">
        <v>400</v>
      </c>
    </row>
    <row r="30" spans="1:6">
      <c r="A30" s="3"/>
      <c r="B30" s="9" t="s">
        <v>23</v>
      </c>
      <c r="C30" s="61">
        <f>0.02/A380</f>
        <v>5.7870370370370367E-4</v>
      </c>
      <c r="D30" t="s">
        <v>393</v>
      </c>
    </row>
    <row r="31" spans="1:6">
      <c r="A31" s="3"/>
      <c r="B31" s="3" t="s">
        <v>8</v>
      </c>
      <c r="C31" s="6">
        <f>SUM(C26:C30)</f>
        <v>0.21341194444444447</v>
      </c>
    </row>
    <row r="32" spans="1:6">
      <c r="A32" s="3"/>
      <c r="C32" s="4"/>
    </row>
    <row r="33" spans="1:9">
      <c r="A33" s="3" t="s">
        <v>24</v>
      </c>
      <c r="C33" s="4"/>
    </row>
    <row r="34" spans="1:9">
      <c r="A34" s="3"/>
      <c r="B34" s="9" t="s">
        <v>25</v>
      </c>
      <c r="C34" s="61">
        <v>0.08</v>
      </c>
      <c r="D34" t="s">
        <v>26</v>
      </c>
      <c r="I34" s="33"/>
    </row>
    <row r="35" spans="1:9">
      <c r="A35" s="3"/>
      <c r="B35" s="8" t="s">
        <v>27</v>
      </c>
      <c r="C35" s="61">
        <f>0.3/A380</f>
        <v>8.6805555555555542E-3</v>
      </c>
      <c r="D35" t="s">
        <v>469</v>
      </c>
      <c r="F35" s="16"/>
    </row>
    <row r="36" spans="1:9">
      <c r="A36" s="3"/>
      <c r="B36" s="8" t="s">
        <v>498</v>
      </c>
      <c r="C36" s="61">
        <f>0.08/A380</f>
        <v>2.3148148148148147E-3</v>
      </c>
      <c r="D36" t="s">
        <v>470</v>
      </c>
      <c r="F36" s="16"/>
    </row>
    <row r="37" spans="1:9">
      <c r="A37" s="3"/>
      <c r="B37" t="s">
        <v>499</v>
      </c>
      <c r="C37" s="61">
        <f>1.11/A380</f>
        <v>3.2118055555555559E-2</v>
      </c>
      <c r="D37" t="s">
        <v>471</v>
      </c>
      <c r="F37" s="16"/>
    </row>
    <row r="38" spans="1:9">
      <c r="A38" s="3"/>
      <c r="B38" t="s">
        <v>500</v>
      </c>
      <c r="C38" s="61">
        <f>0.75%*A382</f>
        <v>4.7174999999999995E-3</v>
      </c>
      <c r="D38" t="s">
        <v>472</v>
      </c>
      <c r="F38" s="16"/>
      <c r="H38" s="16"/>
    </row>
    <row r="39" spans="1:9">
      <c r="A39" s="3"/>
      <c r="B39" s="3" t="s">
        <v>8</v>
      </c>
      <c r="C39" s="6">
        <f>SUM(C34:C38)</f>
        <v>0.12783092592592593</v>
      </c>
      <c r="E39" s="16"/>
      <c r="F39" s="16"/>
      <c r="H39" s="50"/>
    </row>
    <row r="40" spans="1:9">
      <c r="A40" s="3"/>
      <c r="C40" s="4"/>
      <c r="F40" s="16"/>
    </row>
    <row r="41" spans="1:9">
      <c r="A41" s="3" t="s">
        <v>29</v>
      </c>
      <c r="B41" s="8"/>
      <c r="C41" s="4"/>
      <c r="F41" s="16"/>
    </row>
    <row r="42" spans="1:9">
      <c r="A42" s="3"/>
      <c r="B42" s="8" t="s">
        <v>30</v>
      </c>
      <c r="C42" s="61">
        <v>2.9000000000000001E-2</v>
      </c>
      <c r="D42" t="s">
        <v>31</v>
      </c>
      <c r="F42" s="16"/>
    </row>
    <row r="43" spans="1:9">
      <c r="A43" s="3"/>
      <c r="B43" s="8" t="s">
        <v>32</v>
      </c>
      <c r="C43" s="61">
        <f>(5.91%+2.23%)/2</f>
        <v>4.07E-2</v>
      </c>
      <c r="D43" t="s">
        <v>413</v>
      </c>
    </row>
    <row r="44" spans="1:9">
      <c r="B44" s="8" t="s">
        <v>27</v>
      </c>
      <c r="C44" s="61">
        <f>0.09/A380</f>
        <v>2.6041666666666665E-3</v>
      </c>
      <c r="D44" t="s">
        <v>457</v>
      </c>
    </row>
    <row r="45" spans="1:9">
      <c r="A45" s="3"/>
      <c r="B45" s="8" t="s">
        <v>85</v>
      </c>
      <c r="C45" s="61">
        <f>(2.55/2)/A380</f>
        <v>3.6892361111111105E-2</v>
      </c>
      <c r="D45" t="s">
        <v>458</v>
      </c>
    </row>
    <row r="46" spans="1:9">
      <c r="A46" s="3"/>
      <c r="B46" t="s">
        <v>33</v>
      </c>
      <c r="C46" s="61">
        <f>2.6%*$A$382</f>
        <v>1.6354E-2</v>
      </c>
      <c r="D46" s="8" t="s">
        <v>183</v>
      </c>
      <c r="H46" s="63"/>
    </row>
    <row r="47" spans="1:9">
      <c r="A47" s="3"/>
      <c r="B47" t="s">
        <v>347</v>
      </c>
      <c r="C47" s="61">
        <f>0.03/A380</f>
        <v>8.6805555555555551E-4</v>
      </c>
      <c r="D47" s="8" t="s">
        <v>473</v>
      </c>
    </row>
    <row r="48" spans="1:9">
      <c r="A48" s="3"/>
      <c r="B48" s="8" t="s">
        <v>453</v>
      </c>
      <c r="C48" s="61">
        <f>0.27/A380</f>
        <v>7.8125E-3</v>
      </c>
      <c r="D48" s="8" t="s">
        <v>474</v>
      </c>
    </row>
    <row r="49" spans="1:4">
      <c r="A49" s="3"/>
      <c r="B49" s="3" t="s">
        <v>8</v>
      </c>
      <c r="C49" s="6">
        <f>SUM(C42:C48)</f>
        <v>0.13423108333333333</v>
      </c>
    </row>
    <row r="50" spans="1:4">
      <c r="A50" s="3"/>
      <c r="C50" s="4"/>
    </row>
    <row r="51" spans="1:4">
      <c r="A51" s="3" t="s">
        <v>34</v>
      </c>
      <c r="C51" s="4"/>
    </row>
    <row r="52" spans="1:4">
      <c r="B52" t="s">
        <v>19</v>
      </c>
      <c r="C52" s="61">
        <v>6.3500000000000001E-2</v>
      </c>
      <c r="D52" t="s">
        <v>6</v>
      </c>
    </row>
    <row r="53" spans="1:4">
      <c r="A53" s="3"/>
      <c r="B53" s="8">
        <v>911</v>
      </c>
      <c r="C53" s="61">
        <f>0.68/A380</f>
        <v>1.9675925925925927E-2</v>
      </c>
      <c r="D53" s="79" t="s">
        <v>475</v>
      </c>
    </row>
    <row r="54" spans="1:4">
      <c r="B54" s="3" t="s">
        <v>8</v>
      </c>
      <c r="C54" s="6">
        <f>SUM(C52:C53)</f>
        <v>8.3175925925925931E-2</v>
      </c>
      <c r="D54" s="78"/>
    </row>
    <row r="55" spans="1:4">
      <c r="A55" s="3"/>
      <c r="C55" s="4"/>
    </row>
    <row r="56" spans="1:4">
      <c r="A56" s="3" t="s">
        <v>35</v>
      </c>
      <c r="C56" s="4"/>
    </row>
    <row r="57" spans="1:4">
      <c r="B57" t="s">
        <v>36</v>
      </c>
      <c r="C57" s="61">
        <v>0.05</v>
      </c>
      <c r="D57" t="s">
        <v>346</v>
      </c>
    </row>
    <row r="58" spans="1:4">
      <c r="A58" s="3"/>
      <c r="B58" s="9" t="s">
        <v>38</v>
      </c>
      <c r="C58" s="61">
        <f>0.6/A380</f>
        <v>1.7361111111111108E-2</v>
      </c>
      <c r="D58" t="s">
        <v>39</v>
      </c>
    </row>
    <row r="59" spans="1:4">
      <c r="B59" s="9" t="s">
        <v>154</v>
      </c>
      <c r="C59" s="61">
        <f>0.02/A380</f>
        <v>5.7870370370370367E-4</v>
      </c>
      <c r="D59" t="s">
        <v>393</v>
      </c>
    </row>
    <row r="60" spans="1:4">
      <c r="A60" s="3"/>
      <c r="B60" s="3" t="s">
        <v>8</v>
      </c>
      <c r="C60" s="6">
        <f>SUM(C57:C59)</f>
        <v>6.7939814814814814E-2</v>
      </c>
    </row>
    <row r="61" spans="1:4">
      <c r="A61" s="3"/>
      <c r="C61" s="4"/>
    </row>
    <row r="62" spans="1:4">
      <c r="A62" s="3" t="s">
        <v>40</v>
      </c>
      <c r="C62" s="4"/>
    </row>
    <row r="63" spans="1:4">
      <c r="A63" s="3"/>
      <c r="B63" t="s">
        <v>41</v>
      </c>
      <c r="C63" s="61">
        <v>0.1</v>
      </c>
      <c r="D63" s="9" t="s">
        <v>476</v>
      </c>
    </row>
    <row r="64" spans="1:4">
      <c r="A64" s="3"/>
      <c r="B64" s="8">
        <v>911</v>
      </c>
      <c r="C64" s="61">
        <f>0.76/A380</f>
        <v>2.1990740740740741E-2</v>
      </c>
      <c r="D64" s="9" t="s">
        <v>270</v>
      </c>
    </row>
    <row r="65" spans="1:10">
      <c r="B65" s="3" t="s">
        <v>8</v>
      </c>
      <c r="C65" s="6">
        <f>SUM(C63:C64)</f>
        <v>0.12199074074074075</v>
      </c>
    </row>
    <row r="66" spans="1:10">
      <c r="A66" s="3"/>
      <c r="C66" s="4"/>
    </row>
    <row r="67" spans="1:10">
      <c r="A67" s="3" t="s">
        <v>42</v>
      </c>
      <c r="C67" s="4"/>
    </row>
    <row r="68" spans="1:10">
      <c r="A68" s="7"/>
      <c r="B68" t="s">
        <v>43</v>
      </c>
      <c r="C68" s="61">
        <f>7.44%</f>
        <v>7.4400000000000008E-2</v>
      </c>
      <c r="D68" t="s">
        <v>6</v>
      </c>
    </row>
    <row r="69" spans="1:10">
      <c r="A69" s="3"/>
      <c r="B69" s="9" t="s">
        <v>44</v>
      </c>
      <c r="C69" s="61">
        <f>(6.02%+6.9%)/2</f>
        <v>6.4600000000000005E-2</v>
      </c>
      <c r="D69" t="s">
        <v>459</v>
      </c>
      <c r="I69" s="34"/>
    </row>
    <row r="70" spans="1:10">
      <c r="A70" s="3"/>
      <c r="B70" s="8">
        <v>911</v>
      </c>
      <c r="C70" s="61">
        <f>0.4/A380</f>
        <v>1.1574074074074073E-2</v>
      </c>
      <c r="D70" t="s">
        <v>245</v>
      </c>
      <c r="J70" s="30"/>
    </row>
    <row r="71" spans="1:10">
      <c r="A71" s="3"/>
      <c r="B71" s="3" t="s">
        <v>8</v>
      </c>
      <c r="C71" s="6">
        <f>SUM(C68:C70)</f>
        <v>0.15057407407407408</v>
      </c>
    </row>
    <row r="72" spans="1:10">
      <c r="A72" s="3"/>
      <c r="C72" s="4"/>
    </row>
    <row r="73" spans="1:10">
      <c r="A73" s="3" t="s">
        <v>45</v>
      </c>
      <c r="C73" s="4"/>
    </row>
    <row r="74" spans="1:10">
      <c r="A74" s="3"/>
      <c r="B74" t="s">
        <v>19</v>
      </c>
      <c r="C74" s="61">
        <f>(35/A380)*0.04</f>
        <v>4.0509259259259259E-2</v>
      </c>
      <c r="D74" t="s">
        <v>352</v>
      </c>
    </row>
    <row r="75" spans="1:10">
      <c r="A75" s="3"/>
      <c r="B75" t="s">
        <v>46</v>
      </c>
      <c r="C75" s="61">
        <f>(35/A380)*0.0445</f>
        <v>4.5066550925925923E-2</v>
      </c>
      <c r="D75" t="s">
        <v>477</v>
      </c>
      <c r="H75" s="20"/>
    </row>
    <row r="76" spans="1:10">
      <c r="A76" s="3"/>
      <c r="B76" t="s">
        <v>47</v>
      </c>
      <c r="C76" s="61">
        <f>1.5/A380</f>
        <v>4.3402777777777776E-2</v>
      </c>
      <c r="D76" t="s">
        <v>377</v>
      </c>
    </row>
    <row r="77" spans="1:10">
      <c r="A77" s="3"/>
      <c r="B77" s="3" t="s">
        <v>8</v>
      </c>
      <c r="C77" s="6">
        <f>SUM(C74:C76)</f>
        <v>0.12897858796296297</v>
      </c>
    </row>
    <row r="78" spans="1:10">
      <c r="A78" s="3"/>
      <c r="C78" s="4"/>
    </row>
    <row r="79" spans="1:10">
      <c r="A79" s="3" t="s">
        <v>48</v>
      </c>
      <c r="C79" s="4"/>
    </row>
    <row r="80" spans="1:10">
      <c r="A80" s="3"/>
      <c r="B80" t="s">
        <v>266</v>
      </c>
      <c r="C80" s="61">
        <v>0.04</v>
      </c>
    </row>
    <row r="81" spans="1:11">
      <c r="A81" s="3"/>
      <c r="B81" t="s">
        <v>49</v>
      </c>
      <c r="C81" s="61">
        <v>1.8849999999999999E-2</v>
      </c>
      <c r="K81" s="16"/>
    </row>
    <row r="82" spans="1:11">
      <c r="A82" s="3"/>
      <c r="B82" t="s">
        <v>50</v>
      </c>
      <c r="C82" s="61">
        <f>0.0025*A382</f>
        <v>1.5725000000000001E-3</v>
      </c>
      <c r="D82" s="16" t="s">
        <v>416</v>
      </c>
      <c r="K82" s="16"/>
    </row>
    <row r="83" spans="1:11">
      <c r="A83" s="3"/>
      <c r="B83" t="s">
        <v>271</v>
      </c>
      <c r="C83" s="61">
        <f>0.66/A380</f>
        <v>1.909722222222222E-2</v>
      </c>
      <c r="D83" t="s">
        <v>51</v>
      </c>
      <c r="F83" s="63"/>
    </row>
    <row r="84" spans="1:11">
      <c r="A84" s="3"/>
      <c r="B84" s="3" t="s">
        <v>8</v>
      </c>
      <c r="C84" s="6">
        <f>SUM(C80:C83)</f>
        <v>7.9519722222222214E-2</v>
      </c>
    </row>
    <row r="85" spans="1:11">
      <c r="A85" s="3"/>
      <c r="B85" s="3"/>
      <c r="C85" s="6"/>
    </row>
    <row r="86" spans="1:11">
      <c r="A86" s="3" t="s">
        <v>52</v>
      </c>
      <c r="B86" s="3"/>
      <c r="C86" s="6"/>
    </row>
    <row r="87" spans="1:11">
      <c r="A87" s="3"/>
      <c r="B87" s="9" t="s">
        <v>196</v>
      </c>
      <c r="C87" s="61">
        <v>0</v>
      </c>
      <c r="D87" s="9" t="s">
        <v>276</v>
      </c>
    </row>
    <row r="88" spans="1:11">
      <c r="A88" s="3"/>
      <c r="B88" s="9" t="s">
        <v>53</v>
      </c>
      <c r="C88" s="61">
        <f>1/A380</f>
        <v>2.8935185185185182E-2</v>
      </c>
      <c r="D88" s="9" t="s">
        <v>427</v>
      </c>
      <c r="G88" s="64"/>
    </row>
    <row r="89" spans="1:11">
      <c r="A89" s="3"/>
      <c r="B89" s="3" t="s">
        <v>8</v>
      </c>
      <c r="C89" s="6">
        <f>SUM(C87:C88)</f>
        <v>2.8935185185185182E-2</v>
      </c>
    </row>
    <row r="90" spans="1:11">
      <c r="A90" s="3"/>
      <c r="B90" s="3"/>
      <c r="C90" s="6"/>
    </row>
    <row r="91" spans="1:11">
      <c r="A91" s="3" t="s">
        <v>54</v>
      </c>
      <c r="B91" s="3"/>
      <c r="C91" s="6"/>
    </row>
    <row r="92" spans="1:11">
      <c r="A92" s="3"/>
      <c r="B92" s="9" t="s">
        <v>55</v>
      </c>
      <c r="C92" s="61">
        <v>7.0000000000000007E-2</v>
      </c>
      <c r="D92" t="s">
        <v>6</v>
      </c>
    </row>
    <row r="93" spans="1:11">
      <c r="A93" s="3"/>
      <c r="B93" s="9" t="s">
        <v>56</v>
      </c>
      <c r="C93" s="61">
        <f>(7%+6%)/2</f>
        <v>6.5000000000000002E-2</v>
      </c>
      <c r="D93" s="80" t="s">
        <v>378</v>
      </c>
      <c r="H93" s="38"/>
      <c r="J93" s="20"/>
    </row>
    <row r="94" spans="1:11">
      <c r="A94" s="3"/>
      <c r="B94" s="9" t="s">
        <v>22</v>
      </c>
      <c r="C94" s="61">
        <f>(5+1.5)/2/A380</f>
        <v>9.4039351851851846E-2</v>
      </c>
      <c r="D94" s="9" t="s">
        <v>336</v>
      </c>
      <c r="H94" s="40"/>
      <c r="J94" s="31"/>
    </row>
    <row r="95" spans="1:11">
      <c r="A95" s="3"/>
      <c r="B95" s="9" t="s">
        <v>154</v>
      </c>
      <c r="C95" s="61">
        <f>0.02/A380</f>
        <v>5.7870370370370367E-4</v>
      </c>
      <c r="D95" s="9" t="s">
        <v>393</v>
      </c>
      <c r="I95" s="20"/>
    </row>
    <row r="96" spans="1:11">
      <c r="A96" s="3"/>
      <c r="B96" s="3" t="s">
        <v>8</v>
      </c>
      <c r="C96" s="6">
        <f>SUM(C92:C95)</f>
        <v>0.22961805555555556</v>
      </c>
      <c r="D96" s="9"/>
      <c r="I96" s="20"/>
    </row>
    <row r="97" spans="1:12">
      <c r="A97" s="3"/>
      <c r="B97" s="9"/>
      <c r="C97" s="61"/>
      <c r="D97" s="9"/>
    </row>
    <row r="98" spans="1:12">
      <c r="A98" s="3" t="s">
        <v>57</v>
      </c>
      <c r="B98" s="9"/>
      <c r="C98" s="61"/>
      <c r="D98" s="9"/>
    </row>
    <row r="99" spans="1:12">
      <c r="A99" s="3"/>
      <c r="B99" s="9" t="s">
        <v>19</v>
      </c>
      <c r="C99" s="61">
        <v>7.0000000000000007E-2</v>
      </c>
      <c r="D99" s="9" t="s">
        <v>37</v>
      </c>
    </row>
    <row r="100" spans="1:12">
      <c r="A100" s="3"/>
      <c r="B100" s="9" t="s">
        <v>58</v>
      </c>
      <c r="C100" s="61">
        <v>0</v>
      </c>
      <c r="D100" t="s">
        <v>460</v>
      </c>
    </row>
    <row r="101" spans="1:12">
      <c r="A101" s="3"/>
      <c r="B101" s="9" t="s">
        <v>22</v>
      </c>
      <c r="C101" s="61">
        <f>1/A380</f>
        <v>2.8935185185185182E-2</v>
      </c>
      <c r="D101" s="9" t="s">
        <v>147</v>
      </c>
    </row>
    <row r="102" spans="1:12">
      <c r="A102" s="3"/>
      <c r="B102" s="9" t="s">
        <v>59</v>
      </c>
      <c r="C102" s="61">
        <f>2.26%*$A$382</f>
        <v>1.42154E-2</v>
      </c>
      <c r="D102" s="9" t="s">
        <v>461</v>
      </c>
    </row>
    <row r="103" spans="1:12">
      <c r="A103" s="3"/>
      <c r="B103" s="9" t="s">
        <v>28</v>
      </c>
      <c r="C103" s="61">
        <f>0.1468%*A382</f>
        <v>9.233720000000001E-4</v>
      </c>
      <c r="D103" s="9" t="s">
        <v>478</v>
      </c>
    </row>
    <row r="104" spans="1:12">
      <c r="A104" s="3"/>
      <c r="B104" s="9" t="s">
        <v>154</v>
      </c>
      <c r="C104" s="61">
        <f>0.02/A380</f>
        <v>5.7870370370370367E-4</v>
      </c>
      <c r="D104" s="9" t="s">
        <v>393</v>
      </c>
    </row>
    <row r="105" spans="1:12">
      <c r="A105" s="3"/>
      <c r="B105" s="3" t="s">
        <v>8</v>
      </c>
      <c r="C105" s="6">
        <f>SUM(C99:C104)</f>
        <v>0.1146526608888889</v>
      </c>
      <c r="D105" s="9"/>
    </row>
    <row r="106" spans="1:12">
      <c r="A106" s="3"/>
      <c r="B106" s="9"/>
      <c r="C106" s="61"/>
      <c r="D106" s="9"/>
    </row>
    <row r="107" spans="1:12">
      <c r="A107" s="3" t="s">
        <v>60</v>
      </c>
      <c r="C107" s="4"/>
    </row>
    <row r="108" spans="1:12">
      <c r="A108" s="3"/>
      <c r="B108" t="s">
        <v>19</v>
      </c>
      <c r="C108" s="61">
        <v>0.06</v>
      </c>
    </row>
    <row r="109" spans="1:12">
      <c r="A109" s="3"/>
      <c r="B109" s="9" t="s">
        <v>61</v>
      </c>
      <c r="C109" s="61">
        <v>0.01</v>
      </c>
      <c r="D109" s="80" t="s">
        <v>379</v>
      </c>
    </row>
    <row r="110" spans="1:12">
      <c r="A110" s="3"/>
      <c r="B110" s="9" t="s">
        <v>22</v>
      </c>
      <c r="C110" s="61">
        <f>1/A380</f>
        <v>2.8935185185185182E-2</v>
      </c>
      <c r="D110" s="9" t="s">
        <v>147</v>
      </c>
    </row>
    <row r="111" spans="1:12">
      <c r="A111" s="3"/>
      <c r="B111" s="9" t="s">
        <v>62</v>
      </c>
      <c r="C111" s="61">
        <f>0.03/A380</f>
        <v>8.6805555555555551E-4</v>
      </c>
      <c r="D111" s="9" t="s">
        <v>63</v>
      </c>
    </row>
    <row r="112" spans="1:12">
      <c r="A112" s="3"/>
      <c r="B112" s="3" t="s">
        <v>8</v>
      </c>
      <c r="C112" s="6">
        <f>SUM(C108:C111)</f>
        <v>9.9803240740740734E-2</v>
      </c>
      <c r="L112" s="41"/>
    </row>
    <row r="113" spans="1:12">
      <c r="A113" s="3"/>
      <c r="C113" s="4"/>
      <c r="L113" s="42"/>
    </row>
    <row r="114" spans="1:12">
      <c r="A114" s="3" t="s">
        <v>64</v>
      </c>
      <c r="C114" s="4"/>
      <c r="L114" s="41"/>
    </row>
    <row r="115" spans="1:12">
      <c r="A115" s="3"/>
      <c r="B115" t="s">
        <v>19</v>
      </c>
      <c r="C115" s="61">
        <v>6.5000000000000002E-2</v>
      </c>
      <c r="D115" t="s">
        <v>353</v>
      </c>
      <c r="L115" s="41"/>
    </row>
    <row r="116" spans="1:12">
      <c r="A116" s="3"/>
      <c r="B116" t="s">
        <v>61</v>
      </c>
      <c r="C116" s="61">
        <f>(1%+2.65%)/2</f>
        <v>1.8249999999999999E-2</v>
      </c>
      <c r="D116" s="80" t="s">
        <v>65</v>
      </c>
      <c r="L116" s="42"/>
    </row>
    <row r="117" spans="1:12">
      <c r="A117" s="3"/>
      <c r="B117" t="s">
        <v>33</v>
      </c>
      <c r="C117" s="61">
        <f>11.37%*$A$382</f>
        <v>7.1517299999999992E-2</v>
      </c>
      <c r="D117" s="9" t="s">
        <v>479</v>
      </c>
      <c r="L117" s="41"/>
    </row>
    <row r="118" spans="1:12">
      <c r="A118" s="3"/>
      <c r="B118" t="s">
        <v>22</v>
      </c>
      <c r="C118" s="61">
        <f>0.9/A380</f>
        <v>2.6041666666666664E-2</v>
      </c>
      <c r="D118" s="9" t="s">
        <v>380</v>
      </c>
      <c r="L118" s="43"/>
    </row>
    <row r="119" spans="1:12">
      <c r="A119" s="3"/>
      <c r="B119" s="3" t="s">
        <v>8</v>
      </c>
      <c r="C119" s="6">
        <f>SUM(C115:C118)</f>
        <v>0.18080896666666665</v>
      </c>
      <c r="L119" s="44"/>
    </row>
    <row r="120" spans="1:12">
      <c r="A120" s="3"/>
      <c r="C120" s="4"/>
      <c r="L120" s="20"/>
    </row>
    <row r="121" spans="1:12">
      <c r="A121" s="3" t="s">
        <v>66</v>
      </c>
      <c r="C121" s="4"/>
      <c r="L121" s="45"/>
    </row>
    <row r="122" spans="1:12">
      <c r="A122" s="3"/>
      <c r="B122" t="s">
        <v>19</v>
      </c>
      <c r="C122" s="61">
        <v>0.06</v>
      </c>
      <c r="D122" t="s">
        <v>6</v>
      </c>
    </row>
    <row r="123" spans="1:12">
      <c r="A123" s="3"/>
      <c r="B123" t="s">
        <v>67</v>
      </c>
      <c r="C123" s="61">
        <v>1.4999999999999999E-2</v>
      </c>
      <c r="D123" t="s">
        <v>68</v>
      </c>
      <c r="L123" s="41"/>
    </row>
    <row r="124" spans="1:12">
      <c r="A124" s="3"/>
      <c r="B124" s="9" t="s">
        <v>69</v>
      </c>
      <c r="C124" s="61">
        <f>0.06/A380</f>
        <v>1.736111111111111E-3</v>
      </c>
      <c r="D124" t="s">
        <v>480</v>
      </c>
      <c r="L124" s="42"/>
    </row>
    <row r="125" spans="1:12">
      <c r="A125" s="3"/>
      <c r="B125" s="9" t="s">
        <v>70</v>
      </c>
      <c r="C125" s="61">
        <f>0.03/A380</f>
        <v>8.6805555555555551E-4</v>
      </c>
      <c r="D125" t="s">
        <v>337</v>
      </c>
      <c r="L125" s="46"/>
    </row>
    <row r="126" spans="1:12">
      <c r="A126" s="3"/>
      <c r="B126" t="s">
        <v>22</v>
      </c>
      <c r="C126" s="61">
        <f>0.7/A380</f>
        <v>2.0254629629629626E-2</v>
      </c>
      <c r="D126" t="s">
        <v>71</v>
      </c>
      <c r="L126" s="44"/>
    </row>
    <row r="127" spans="1:12">
      <c r="A127" s="3"/>
      <c r="B127" t="s">
        <v>72</v>
      </c>
      <c r="C127" s="61">
        <v>1.2999999999999999E-2</v>
      </c>
      <c r="D127" t="s">
        <v>6</v>
      </c>
      <c r="L127" s="41"/>
    </row>
    <row r="128" spans="1:12">
      <c r="A128" s="3"/>
      <c r="B128" s="3" t="s">
        <v>8</v>
      </c>
      <c r="C128" s="6">
        <f>SUM(C122:C127)</f>
        <v>0.11085879629629627</v>
      </c>
      <c r="L128" s="20"/>
    </row>
    <row r="129" spans="1:12">
      <c r="A129" s="3"/>
      <c r="C129" s="4"/>
      <c r="L129" s="46"/>
    </row>
    <row r="130" spans="1:12">
      <c r="A130" s="3" t="s">
        <v>73</v>
      </c>
      <c r="C130" s="4"/>
    </row>
    <row r="131" spans="1:12">
      <c r="A131" s="3"/>
      <c r="B131" t="s">
        <v>19</v>
      </c>
      <c r="C131" s="73">
        <v>3.4500000000000003E-2</v>
      </c>
      <c r="D131" t="s">
        <v>74</v>
      </c>
      <c r="L131" s="44"/>
    </row>
    <row r="132" spans="1:12">
      <c r="A132" s="3"/>
      <c r="B132" s="9" t="s">
        <v>22</v>
      </c>
      <c r="C132" s="61">
        <f>1.25/A380</f>
        <v>3.6168981481481483E-2</v>
      </c>
      <c r="D132" t="s">
        <v>481</v>
      </c>
      <c r="L132" s="47"/>
    </row>
    <row r="133" spans="1:12">
      <c r="A133" s="3"/>
      <c r="B133" s="9" t="s">
        <v>59</v>
      </c>
      <c r="C133" s="61">
        <f>1.55/A380</f>
        <v>4.4849537037037035E-2</v>
      </c>
      <c r="D133" t="s">
        <v>75</v>
      </c>
    </row>
    <row r="134" spans="1:12">
      <c r="A134" s="3"/>
      <c r="B134" s="9" t="s">
        <v>154</v>
      </c>
      <c r="C134" s="61">
        <f>0.05/A380</f>
        <v>1.4467592592592592E-3</v>
      </c>
      <c r="D134" t="s">
        <v>384</v>
      </c>
      <c r="L134" s="45"/>
    </row>
    <row r="135" spans="1:12">
      <c r="A135" s="3"/>
      <c r="B135" s="3" t="s">
        <v>8</v>
      </c>
      <c r="C135" s="6">
        <f>SUM(C131:C134)</f>
        <v>0.11696527777777778</v>
      </c>
      <c r="L135" s="45"/>
    </row>
    <row r="136" spans="1:12">
      <c r="A136" s="3"/>
      <c r="C136" s="4"/>
      <c r="F136" s="20"/>
    </row>
    <row r="137" spans="1:12">
      <c r="A137" s="3" t="s">
        <v>76</v>
      </c>
      <c r="C137" s="4"/>
      <c r="L137" s="44"/>
    </row>
    <row r="138" spans="1:12">
      <c r="A138" s="3"/>
      <c r="B138" t="s">
        <v>77</v>
      </c>
      <c r="C138" s="61">
        <v>0.06</v>
      </c>
    </row>
    <row r="139" spans="1:12">
      <c r="A139" s="3"/>
      <c r="B139" t="s">
        <v>146</v>
      </c>
      <c r="C139" s="61">
        <f>0.35/A380</f>
        <v>1.0127314814814813E-2</v>
      </c>
      <c r="D139" t="s">
        <v>401</v>
      </c>
      <c r="L139" s="45"/>
    </row>
    <row r="140" spans="1:12">
      <c r="A140" s="3"/>
      <c r="B140" t="s">
        <v>80</v>
      </c>
      <c r="C140" s="61">
        <f>0.44/A380</f>
        <v>1.2731481481481481E-2</v>
      </c>
      <c r="D140" t="s">
        <v>402</v>
      </c>
    </row>
    <row r="141" spans="1:12">
      <c r="A141" s="3"/>
      <c r="B141" t="s">
        <v>81</v>
      </c>
      <c r="C141" s="61">
        <f>0.21/A380</f>
        <v>6.0763888888888881E-3</v>
      </c>
      <c r="D141" t="s">
        <v>381</v>
      </c>
      <c r="L141" s="48"/>
    </row>
    <row r="142" spans="1:12" ht="15.75" customHeight="1">
      <c r="A142" s="3"/>
      <c r="B142" t="s">
        <v>501</v>
      </c>
      <c r="C142" s="61">
        <f>0.1/A380</f>
        <v>2.8935185185185184E-3</v>
      </c>
      <c r="D142" t="s">
        <v>415</v>
      </c>
      <c r="E142" s="38"/>
    </row>
    <row r="143" spans="1:12">
      <c r="A143" s="3"/>
      <c r="B143" s="3" t="s">
        <v>8</v>
      </c>
      <c r="C143" s="6">
        <f>SUM(C138:C142)</f>
        <v>9.182870370370369E-2</v>
      </c>
    </row>
    <row r="144" spans="1:12">
      <c r="A144" s="3"/>
      <c r="C144" s="4"/>
    </row>
    <row r="145" spans="1:9">
      <c r="A145" s="3" t="s">
        <v>82</v>
      </c>
      <c r="C145" s="4"/>
    </row>
    <row r="146" spans="1:9">
      <c r="A146" s="3"/>
      <c r="B146" t="s">
        <v>19</v>
      </c>
      <c r="C146" s="61">
        <v>0.06</v>
      </c>
      <c r="I146" s="30"/>
    </row>
    <row r="147" spans="1:9">
      <c r="A147" s="3"/>
      <c r="B147" t="s">
        <v>83</v>
      </c>
      <c r="C147" s="61">
        <f>4/A380/2</f>
        <v>5.7870370370370364E-2</v>
      </c>
      <c r="D147" t="s">
        <v>84</v>
      </c>
      <c r="H147" s="63"/>
      <c r="I147" s="34"/>
    </row>
    <row r="148" spans="1:9">
      <c r="A148" s="3"/>
      <c r="B148" t="s">
        <v>27</v>
      </c>
      <c r="C148" s="61">
        <f>0.5/A380</f>
        <v>1.4467592592592591E-2</v>
      </c>
      <c r="D148" t="s">
        <v>160</v>
      </c>
    </row>
    <row r="149" spans="1:9">
      <c r="A149" s="3"/>
      <c r="B149" s="9" t="s">
        <v>85</v>
      </c>
      <c r="C149" s="61">
        <f>((1+0.75)/2)/A380</f>
        <v>2.5318287037037035E-2</v>
      </c>
      <c r="D149" t="s">
        <v>417</v>
      </c>
      <c r="H149" s="38"/>
    </row>
    <row r="150" spans="1:9">
      <c r="A150" s="3"/>
      <c r="B150" s="9" t="s">
        <v>12</v>
      </c>
      <c r="C150" s="61">
        <f>0.05/A380</f>
        <v>1.4467592592592592E-3</v>
      </c>
      <c r="D150" t="s">
        <v>403</v>
      </c>
      <c r="H150" s="40"/>
    </row>
    <row r="151" spans="1:9">
      <c r="A151" s="3"/>
      <c r="B151" s="3" t="s">
        <v>8</v>
      </c>
      <c r="C151" s="6">
        <f>SUM(C146:C150)</f>
        <v>0.15910300925925927</v>
      </c>
    </row>
    <row r="152" spans="1:9">
      <c r="A152" s="3"/>
      <c r="C152" s="4"/>
    </row>
    <row r="153" spans="1:9">
      <c r="A153" s="3" t="s">
        <v>86</v>
      </c>
      <c r="C153" s="4"/>
    </row>
    <row r="154" spans="1:9">
      <c r="A154" s="3"/>
      <c r="B154" t="s">
        <v>19</v>
      </c>
      <c r="C154" s="61">
        <v>6.25E-2</v>
      </c>
      <c r="D154" t="s">
        <v>93</v>
      </c>
    </row>
    <row r="155" spans="1:9">
      <c r="A155" s="3"/>
      <c r="B155" t="s">
        <v>22</v>
      </c>
      <c r="C155" s="61">
        <f>1.5/A380</f>
        <v>4.3402777777777776E-2</v>
      </c>
      <c r="D155" t="s">
        <v>382</v>
      </c>
      <c r="H155" s="9"/>
    </row>
    <row r="156" spans="1:9">
      <c r="A156" s="3"/>
      <c r="B156" s="3" t="s">
        <v>8</v>
      </c>
      <c r="C156" s="6">
        <f>SUM(C154:C155)</f>
        <v>0.10590277777777778</v>
      </c>
    </row>
    <row r="157" spans="1:9">
      <c r="A157" s="3"/>
      <c r="C157" s="4"/>
    </row>
    <row r="158" spans="1:9">
      <c r="A158" s="3" t="s">
        <v>89</v>
      </c>
      <c r="C158" s="4"/>
    </row>
    <row r="159" spans="1:9">
      <c r="A159" s="3"/>
      <c r="B159" t="s">
        <v>19</v>
      </c>
      <c r="C159" s="61">
        <v>0.06</v>
      </c>
      <c r="D159" t="s">
        <v>93</v>
      </c>
    </row>
    <row r="160" spans="1:9">
      <c r="A160" s="3"/>
      <c r="B160" t="s">
        <v>90</v>
      </c>
      <c r="C160" s="61">
        <f>0.25/A380</f>
        <v>7.2337962962962955E-3</v>
      </c>
      <c r="D160" t="s">
        <v>263</v>
      </c>
    </row>
    <row r="161" spans="1:10">
      <c r="A161" s="3"/>
      <c r="B161" t="s">
        <v>91</v>
      </c>
      <c r="C161" s="61">
        <f>2.22/2/A380</f>
        <v>3.2118055555555559E-2</v>
      </c>
      <c r="D161" t="s">
        <v>383</v>
      </c>
    </row>
    <row r="162" spans="1:10">
      <c r="A162" s="3"/>
      <c r="B162" t="s">
        <v>201</v>
      </c>
      <c r="C162" s="61">
        <v>0</v>
      </c>
      <c r="D162" t="s">
        <v>462</v>
      </c>
    </row>
    <row r="163" spans="1:10">
      <c r="A163" s="3"/>
      <c r="B163" s="3" t="s">
        <v>8</v>
      </c>
      <c r="C163" s="6">
        <f>SUM(C159:C162)</f>
        <v>9.9351851851851858E-2</v>
      </c>
    </row>
    <row r="164" spans="1:10">
      <c r="A164" s="3"/>
      <c r="C164" s="4"/>
    </row>
    <row r="165" spans="1:10">
      <c r="A165" s="3" t="s">
        <v>92</v>
      </c>
      <c r="C165" s="4"/>
    </row>
    <row r="166" spans="1:10">
      <c r="A166" s="3"/>
      <c r="B166" t="s">
        <v>19</v>
      </c>
      <c r="C166" s="61">
        <v>6.8750000000000006E-2</v>
      </c>
      <c r="D166" t="s">
        <v>93</v>
      </c>
      <c r="H166" s="32"/>
      <c r="J166" s="16"/>
    </row>
    <row r="167" spans="1:10">
      <c r="A167" s="3"/>
      <c r="B167" t="s">
        <v>46</v>
      </c>
      <c r="C167" s="61">
        <f>(1.15%+1%)/2</f>
        <v>1.0749999999999999E-2</v>
      </c>
      <c r="D167" t="s">
        <v>350</v>
      </c>
    </row>
    <row r="168" spans="1:10">
      <c r="A168" s="3"/>
      <c r="B168" s="83">
        <v>911</v>
      </c>
      <c r="C168" s="61">
        <f>0.8/A380</f>
        <v>2.3148148148148147E-2</v>
      </c>
      <c r="D168" t="s">
        <v>463</v>
      </c>
    </row>
    <row r="169" spans="1:10">
      <c r="A169" s="3"/>
      <c r="B169" s="9" t="s">
        <v>94</v>
      </c>
      <c r="C169" s="61">
        <f>0.04/A380</f>
        <v>1.1574074074074073E-3</v>
      </c>
      <c r="D169" t="s">
        <v>482</v>
      </c>
    </row>
    <row r="170" spans="1:10">
      <c r="A170" s="3"/>
      <c r="B170" s="3" t="s">
        <v>8</v>
      </c>
      <c r="C170" s="6">
        <f>SUM(C166:C169)</f>
        <v>0.10380555555555557</v>
      </c>
    </row>
    <row r="171" spans="1:10">
      <c r="A171" s="3"/>
      <c r="C171" s="4"/>
    </row>
    <row r="172" spans="1:10">
      <c r="A172" s="3" t="s">
        <v>95</v>
      </c>
      <c r="C172" s="4"/>
    </row>
    <row r="173" spans="1:10">
      <c r="A173" s="3"/>
      <c r="B173" t="s">
        <v>19</v>
      </c>
      <c r="C173" s="61">
        <v>7.0000000000000007E-2</v>
      </c>
      <c r="D173" t="s">
        <v>6</v>
      </c>
    </row>
    <row r="174" spans="1:10">
      <c r="A174" s="3"/>
      <c r="B174" t="s">
        <v>394</v>
      </c>
      <c r="C174" s="61">
        <f>1.05/A380</f>
        <v>3.0381944444444444E-2</v>
      </c>
      <c r="D174" t="s">
        <v>395</v>
      </c>
    </row>
    <row r="175" spans="1:10">
      <c r="A175" s="3"/>
      <c r="B175" s="3" t="s">
        <v>8</v>
      </c>
      <c r="C175" s="6">
        <f>SUM(C173:C174)</f>
        <v>0.10038194444444445</v>
      </c>
    </row>
    <row r="176" spans="1:10">
      <c r="A176" s="3"/>
      <c r="C176" s="4"/>
    </row>
    <row r="177" spans="1:11">
      <c r="A177" s="3" t="s">
        <v>96</v>
      </c>
      <c r="C177" s="4"/>
      <c r="I177" s="32"/>
    </row>
    <row r="178" spans="1:11">
      <c r="A178" s="3"/>
      <c r="B178" t="s">
        <v>19</v>
      </c>
      <c r="C178" s="61">
        <v>4.2250000000000003E-2</v>
      </c>
      <c r="D178" t="s">
        <v>37</v>
      </c>
      <c r="J178" s="50"/>
      <c r="K178" s="16"/>
    </row>
    <row r="179" spans="1:11">
      <c r="A179" s="3"/>
      <c r="B179" t="s">
        <v>20</v>
      </c>
      <c r="C179" s="61">
        <f>(3.625%+4.75%)/2</f>
        <v>4.1874999999999996E-2</v>
      </c>
      <c r="D179" t="s">
        <v>483</v>
      </c>
    </row>
    <row r="180" spans="1:11">
      <c r="A180" s="3"/>
      <c r="B180" s="9" t="s">
        <v>97</v>
      </c>
      <c r="C180" s="61">
        <v>6.5000000000000002E-2</v>
      </c>
      <c r="D180" t="s">
        <v>98</v>
      </c>
    </row>
    <row r="181" spans="1:11">
      <c r="A181" s="3"/>
      <c r="B181" s="3" t="s">
        <v>8</v>
      </c>
      <c r="C181" s="6">
        <f>SUM(C178:C180)</f>
        <v>0.14912500000000001</v>
      </c>
    </row>
    <row r="182" spans="1:11">
      <c r="A182" s="3"/>
      <c r="C182" s="4"/>
    </row>
    <row r="183" spans="1:11">
      <c r="A183" s="3" t="s">
        <v>99</v>
      </c>
      <c r="C183" s="4"/>
    </row>
    <row r="184" spans="1:11">
      <c r="A184" s="3"/>
      <c r="B184" t="s">
        <v>100</v>
      </c>
      <c r="C184" s="61">
        <v>3.7499999999999999E-2</v>
      </c>
      <c r="D184" t="s">
        <v>6</v>
      </c>
    </row>
    <row r="185" spans="1:11">
      <c r="A185" s="3"/>
      <c r="B185" t="s">
        <v>101</v>
      </c>
      <c r="C185" s="61">
        <f>1/A380</f>
        <v>2.8935185185185182E-2</v>
      </c>
      <c r="D185" t="s">
        <v>102</v>
      </c>
    </row>
    <row r="186" spans="1:11">
      <c r="A186" s="3"/>
      <c r="B186" t="s">
        <v>103</v>
      </c>
      <c r="C186" s="61">
        <f>0.1/A380</f>
        <v>2.8935185185185184E-3</v>
      </c>
      <c r="D186" t="s">
        <v>104</v>
      </c>
    </row>
    <row r="187" spans="1:11">
      <c r="A187" s="3"/>
      <c r="B187" s="3" t="s">
        <v>8</v>
      </c>
      <c r="C187" s="6">
        <f>SUM(C184:C186)</f>
        <v>6.9328703703703698E-2</v>
      </c>
    </row>
    <row r="188" spans="1:11">
      <c r="A188" s="3"/>
      <c r="C188" s="4"/>
    </row>
    <row r="189" spans="1:11">
      <c r="A189" s="3" t="s">
        <v>105</v>
      </c>
      <c r="C189" s="4"/>
    </row>
    <row r="190" spans="1:11">
      <c r="A190" s="3"/>
      <c r="B190" t="s">
        <v>19</v>
      </c>
      <c r="C190" s="61">
        <v>5.5E-2</v>
      </c>
      <c r="D190" t="s">
        <v>106</v>
      </c>
      <c r="J190" s="30"/>
    </row>
    <row r="191" spans="1:11">
      <c r="A191" s="3"/>
      <c r="B191" t="s">
        <v>46</v>
      </c>
      <c r="C191" s="73">
        <f>(1.75%+1.5%)/2</f>
        <v>1.6250000000000001E-2</v>
      </c>
      <c r="D191" t="s">
        <v>404</v>
      </c>
    </row>
    <row r="192" spans="1:11">
      <c r="A192" s="3"/>
      <c r="B192" t="s">
        <v>107</v>
      </c>
      <c r="C192" s="61">
        <f>(6%+6.25%)/2</f>
        <v>6.1249999999999999E-2</v>
      </c>
      <c r="D192" t="s">
        <v>364</v>
      </c>
      <c r="I192" s="36"/>
    </row>
    <row r="193" spans="1:4">
      <c r="A193" s="3"/>
      <c r="B193" t="s">
        <v>59</v>
      </c>
      <c r="C193" s="61">
        <f>1.75/A380</f>
        <v>5.063657407407407E-2</v>
      </c>
      <c r="D193" t="s">
        <v>385</v>
      </c>
    </row>
    <row r="194" spans="1:4">
      <c r="A194" s="3"/>
      <c r="B194" s="9" t="s">
        <v>22</v>
      </c>
      <c r="C194" s="61">
        <f>0.45/A380</f>
        <v>1.3020833333333332E-2</v>
      </c>
      <c r="D194" t="s">
        <v>79</v>
      </c>
    </row>
    <row r="195" spans="1:4">
      <c r="A195" s="3"/>
      <c r="B195" t="s">
        <v>108</v>
      </c>
      <c r="C195" s="61">
        <f>0.03/7</f>
        <v>4.2857142857142859E-3</v>
      </c>
      <c r="D195" t="s">
        <v>386</v>
      </c>
    </row>
    <row r="196" spans="1:4">
      <c r="A196" s="3"/>
      <c r="B196" s="3" t="s">
        <v>8</v>
      </c>
      <c r="C196" s="6">
        <f>SUM(C190:C195)</f>
        <v>0.2004431216931217</v>
      </c>
    </row>
    <row r="197" spans="1:4">
      <c r="A197" s="3"/>
      <c r="C197" s="4"/>
    </row>
    <row r="198" spans="1:4">
      <c r="A198" s="3" t="s">
        <v>109</v>
      </c>
      <c r="C198" s="4"/>
    </row>
    <row r="199" spans="1:4">
      <c r="A199" s="3"/>
      <c r="B199" t="s">
        <v>110</v>
      </c>
      <c r="C199" s="61">
        <f>0.75/A380</f>
        <v>2.1701388888888888E-2</v>
      </c>
      <c r="D199" t="s">
        <v>111</v>
      </c>
    </row>
    <row r="200" spans="1:4">
      <c r="A200" s="3"/>
      <c r="B200" t="s">
        <v>38</v>
      </c>
      <c r="C200" s="61">
        <f>0.5/A380</f>
        <v>1.4467592592592591E-2</v>
      </c>
      <c r="D200" t="s">
        <v>351</v>
      </c>
    </row>
    <row r="201" spans="1:4">
      <c r="A201" s="3"/>
      <c r="B201" t="s">
        <v>112</v>
      </c>
      <c r="C201" s="61">
        <f>0.08/A380</f>
        <v>2.3148148148148147E-3</v>
      </c>
      <c r="D201" t="s">
        <v>484</v>
      </c>
    </row>
    <row r="202" spans="1:4">
      <c r="A202" s="3"/>
      <c r="B202" t="s">
        <v>113</v>
      </c>
      <c r="C202" s="61">
        <f>0.0034*$A$382</f>
        <v>2.1386E-3</v>
      </c>
      <c r="D202" t="s">
        <v>485</v>
      </c>
    </row>
    <row r="203" spans="1:4">
      <c r="A203" s="3"/>
      <c r="B203" t="s">
        <v>502</v>
      </c>
      <c r="C203" s="61">
        <f>0.35/A380</f>
        <v>1.0127314814814813E-2</v>
      </c>
      <c r="D203" t="s">
        <v>486</v>
      </c>
    </row>
    <row r="204" spans="1:4">
      <c r="A204" s="3"/>
      <c r="B204" s="3" t="s">
        <v>8</v>
      </c>
      <c r="C204" s="6">
        <f>SUM(C199:C203)</f>
        <v>5.0749711111111102E-2</v>
      </c>
    </row>
    <row r="205" spans="1:4">
      <c r="A205" s="3" t="s">
        <v>114</v>
      </c>
      <c r="C205" s="4"/>
    </row>
    <row r="206" spans="1:4">
      <c r="A206" s="3"/>
      <c r="C206" s="4"/>
    </row>
    <row r="207" spans="1:4">
      <c r="A207" s="3"/>
      <c r="B207" t="s">
        <v>115</v>
      </c>
      <c r="C207" s="61">
        <v>7.0000000000000007E-2</v>
      </c>
      <c r="D207" t="s">
        <v>6</v>
      </c>
    </row>
    <row r="208" spans="1:4">
      <c r="A208" s="3"/>
      <c r="B208" t="s">
        <v>78</v>
      </c>
      <c r="C208" s="61">
        <f>0.75/A380</f>
        <v>2.1701388888888888E-2</v>
      </c>
      <c r="D208" t="s">
        <v>88</v>
      </c>
    </row>
    <row r="209" spans="1:14">
      <c r="A209" s="3"/>
      <c r="B209" s="3" t="s">
        <v>8</v>
      </c>
      <c r="C209" s="6">
        <f>SUM(C207:C208)</f>
        <v>9.1701388888888902E-2</v>
      </c>
    </row>
    <row r="210" spans="1:14">
      <c r="A210" s="3" t="s">
        <v>116</v>
      </c>
      <c r="C210" s="4"/>
    </row>
    <row r="211" spans="1:14">
      <c r="A211" s="3"/>
      <c r="C211" s="4"/>
    </row>
    <row r="212" spans="1:14">
      <c r="A212" s="3"/>
      <c r="B212" t="s">
        <v>19</v>
      </c>
      <c r="C212" s="61">
        <v>6.6250000000000003E-2</v>
      </c>
    </row>
    <row r="213" spans="1:14">
      <c r="A213" s="3"/>
      <c r="B213" t="s">
        <v>22</v>
      </c>
      <c r="C213" s="61">
        <f>0.9/A380</f>
        <v>2.6041666666666664E-2</v>
      </c>
      <c r="D213" t="s">
        <v>253</v>
      </c>
    </row>
    <row r="214" spans="1:14">
      <c r="A214" s="3"/>
      <c r="B214" s="3" t="s">
        <v>8</v>
      </c>
      <c r="C214" s="6">
        <f>SUM(C212:C213)</f>
        <v>9.2291666666666661E-2</v>
      </c>
    </row>
    <row r="215" spans="1:14">
      <c r="A215" s="3" t="s">
        <v>117</v>
      </c>
      <c r="C215" s="4"/>
    </row>
    <row r="216" spans="1:14">
      <c r="A216" s="3"/>
      <c r="C216" s="4"/>
      <c r="M216" s="16"/>
      <c r="N216" s="16"/>
    </row>
    <row r="217" spans="1:14">
      <c r="A217" s="3"/>
      <c r="B217" t="s">
        <v>118</v>
      </c>
      <c r="C217" s="61">
        <v>4.8750000000000002E-2</v>
      </c>
      <c r="D217" t="s">
        <v>464</v>
      </c>
      <c r="H217" s="9"/>
      <c r="K217" s="16"/>
      <c r="L217" s="16"/>
      <c r="M217" s="16"/>
      <c r="N217" s="16"/>
    </row>
    <row r="218" spans="1:14">
      <c r="A218" s="3"/>
      <c r="B218" t="s">
        <v>119</v>
      </c>
      <c r="C218" s="61">
        <f>(3.3125%+2.75%)/2</f>
        <v>3.0312499999999999E-2</v>
      </c>
      <c r="D218" s="9" t="s">
        <v>342</v>
      </c>
      <c r="K218" s="16"/>
      <c r="L218" s="16"/>
      <c r="M218" s="16"/>
      <c r="N218" s="16"/>
    </row>
    <row r="219" spans="1:14">
      <c r="A219" s="3"/>
      <c r="B219" t="s">
        <v>22</v>
      </c>
      <c r="C219" s="61">
        <f>0.51/A380</f>
        <v>1.4756944444444444E-2</v>
      </c>
      <c r="D219" t="s">
        <v>262</v>
      </c>
      <c r="K219" s="50"/>
      <c r="L219" s="16"/>
      <c r="M219" s="50"/>
    </row>
    <row r="220" spans="1:14">
      <c r="A220" s="3"/>
      <c r="B220" t="s">
        <v>120</v>
      </c>
      <c r="C220" s="61">
        <f>0.33%*A382</f>
        <v>2.0757000000000002E-3</v>
      </c>
      <c r="D220" t="s">
        <v>197</v>
      </c>
      <c r="K220" s="16"/>
      <c r="L220" s="16"/>
      <c r="M220" s="16"/>
    </row>
    <row r="221" spans="1:14">
      <c r="A221" s="3"/>
      <c r="B221" t="s">
        <v>59</v>
      </c>
      <c r="C221" s="61">
        <f>0.97/A380</f>
        <v>2.8067129629629626E-2</v>
      </c>
      <c r="D221" t="s">
        <v>487</v>
      </c>
      <c r="K221" s="50"/>
      <c r="L221" s="16"/>
      <c r="M221" s="50"/>
    </row>
    <row r="222" spans="1:14">
      <c r="A222" s="3"/>
      <c r="B222" s="3" t="s">
        <v>8</v>
      </c>
      <c r="C222" s="6">
        <f>SUM(C217:C221)</f>
        <v>0.12396227407407408</v>
      </c>
      <c r="M222" s="16"/>
    </row>
    <row r="223" spans="1:14">
      <c r="A223" s="3"/>
      <c r="C223" s="10"/>
    </row>
    <row r="224" spans="1:14">
      <c r="A224" s="3" t="s">
        <v>121</v>
      </c>
      <c r="C224" s="4"/>
      <c r="I224" s="30"/>
    </row>
    <row r="225" spans="1:10">
      <c r="A225" s="3"/>
      <c r="C225" s="4"/>
      <c r="I225" s="32"/>
    </row>
    <row r="226" spans="1:10">
      <c r="A226" s="3"/>
      <c r="B226" t="s">
        <v>19</v>
      </c>
      <c r="C226" s="61">
        <v>0.04</v>
      </c>
      <c r="D226" t="s">
        <v>122</v>
      </c>
    </row>
    <row r="227" spans="1:10">
      <c r="A227" s="3"/>
      <c r="B227" t="s">
        <v>20</v>
      </c>
      <c r="C227" s="61">
        <f>(4%+4.5%)/2</f>
        <v>4.2499999999999996E-2</v>
      </c>
      <c r="D227" s="80" t="s">
        <v>198</v>
      </c>
    </row>
    <row r="228" spans="1:10">
      <c r="A228" s="3"/>
      <c r="B228" t="s">
        <v>123</v>
      </c>
      <c r="C228" s="61">
        <f>0.375%/2</f>
        <v>1.8749999999999999E-3</v>
      </c>
      <c r="D228" s="80" t="s">
        <v>199</v>
      </c>
    </row>
    <row r="229" spans="1:10">
      <c r="A229" s="3"/>
      <c r="B229" t="s">
        <v>124</v>
      </c>
      <c r="C229" s="61">
        <v>2.9000000000000001E-2</v>
      </c>
      <c r="D229" t="s">
        <v>125</v>
      </c>
      <c r="J229" s="16"/>
    </row>
    <row r="230" spans="1:10">
      <c r="A230" s="3"/>
      <c r="B230" t="s">
        <v>272</v>
      </c>
      <c r="C230" s="61">
        <f>(0.721%)/2</f>
        <v>3.6049999999999997E-3</v>
      </c>
      <c r="D230" t="s">
        <v>246</v>
      </c>
      <c r="J230" s="21"/>
    </row>
    <row r="231" spans="1:10">
      <c r="A231" s="3"/>
      <c r="B231" t="s">
        <v>126</v>
      </c>
      <c r="C231" s="61">
        <f>((0.84*0.0235)+0.01)/2</f>
        <v>1.4870000000000001E-2</v>
      </c>
      <c r="D231" s="9" t="s">
        <v>127</v>
      </c>
      <c r="J231" s="16"/>
    </row>
    <row r="232" spans="1:10">
      <c r="A232" s="3"/>
      <c r="B232" t="s">
        <v>90</v>
      </c>
      <c r="C232" s="61">
        <f>1.2/A380</f>
        <v>3.4722222222222217E-2</v>
      </c>
      <c r="D232" t="s">
        <v>128</v>
      </c>
    </row>
    <row r="233" spans="1:10">
      <c r="A233" s="3"/>
      <c r="B233" t="s">
        <v>129</v>
      </c>
      <c r="C233" s="61">
        <f>1.55/2/A380</f>
        <v>2.2424768518518517E-2</v>
      </c>
      <c r="D233" t="s">
        <v>488</v>
      </c>
    </row>
    <row r="234" spans="1:10">
      <c r="A234" s="3"/>
      <c r="B234" t="s">
        <v>130</v>
      </c>
      <c r="C234" s="61">
        <v>1.4999999999999999E-2</v>
      </c>
      <c r="D234" t="s">
        <v>247</v>
      </c>
    </row>
    <row r="235" spans="1:10">
      <c r="A235" s="3"/>
      <c r="B235" s="3" t="s">
        <v>8</v>
      </c>
      <c r="C235" s="6">
        <f>SUM(C226:C234)</f>
        <v>0.20399699074074074</v>
      </c>
    </row>
    <row r="236" spans="1:10">
      <c r="A236" s="3" t="s">
        <v>131</v>
      </c>
      <c r="C236" s="4"/>
    </row>
    <row r="237" spans="1:10">
      <c r="A237" s="3"/>
      <c r="C237" s="4"/>
    </row>
    <row r="238" spans="1:10">
      <c r="A238" s="3"/>
      <c r="B238" t="s">
        <v>405</v>
      </c>
      <c r="C238" s="73">
        <v>7.0000000000000007E-2</v>
      </c>
      <c r="D238" t="s">
        <v>396</v>
      </c>
    </row>
    <row r="239" spans="1:10">
      <c r="A239" s="3"/>
      <c r="B239" t="s">
        <v>22</v>
      </c>
      <c r="C239" s="61">
        <f>0.55/A380</f>
        <v>1.5914351851851853E-2</v>
      </c>
      <c r="D239" s="9" t="s">
        <v>489</v>
      </c>
      <c r="E239" s="64"/>
    </row>
    <row r="240" spans="1:10">
      <c r="A240" s="3"/>
      <c r="B240" t="s">
        <v>132</v>
      </c>
      <c r="C240" s="61">
        <f>0.16/A380</f>
        <v>4.6296296296296294E-3</v>
      </c>
      <c r="D240" s="9" t="s">
        <v>490</v>
      </c>
    </row>
    <row r="241" spans="1:5">
      <c r="A241" s="3"/>
      <c r="B241" s="3" t="s">
        <v>8</v>
      </c>
      <c r="C241" s="6">
        <f>SUM(C238:C240)</f>
        <v>9.0543981481481489E-2</v>
      </c>
    </row>
    <row r="242" spans="1:5">
      <c r="A242" s="3" t="s">
        <v>133</v>
      </c>
      <c r="C242" s="4"/>
    </row>
    <row r="243" spans="1:5">
      <c r="A243" s="3"/>
      <c r="C243" s="4"/>
    </row>
    <row r="244" spans="1:5">
      <c r="A244" s="3"/>
      <c r="B244" t="s">
        <v>19</v>
      </c>
      <c r="C244" s="61">
        <v>0.05</v>
      </c>
      <c r="D244" t="s">
        <v>37</v>
      </c>
    </row>
    <row r="245" spans="1:5">
      <c r="A245" s="3"/>
      <c r="B245" t="s">
        <v>20</v>
      </c>
      <c r="C245" s="61">
        <v>2.2499999999999999E-2</v>
      </c>
      <c r="D245" t="s">
        <v>387</v>
      </c>
    </row>
    <row r="246" spans="1:5">
      <c r="A246" s="3"/>
      <c r="B246" t="s">
        <v>134</v>
      </c>
      <c r="C246" s="61">
        <v>2.5000000000000001E-2</v>
      </c>
      <c r="D246" t="s">
        <v>87</v>
      </c>
    </row>
    <row r="247" spans="1:5">
      <c r="A247" s="3"/>
      <c r="B247" s="68" t="s">
        <v>341</v>
      </c>
      <c r="C247" s="61">
        <f>0.5/A380</f>
        <v>1.4467592592592591E-2</v>
      </c>
      <c r="D247" s="81" t="s">
        <v>363</v>
      </c>
      <c r="E247" s="65"/>
    </row>
    <row r="248" spans="1:5">
      <c r="A248" s="3"/>
      <c r="B248" t="s">
        <v>38</v>
      </c>
      <c r="C248" s="61">
        <f>1.5/A380</f>
        <v>4.3402777777777776E-2</v>
      </c>
      <c r="D248" t="s">
        <v>388</v>
      </c>
    </row>
    <row r="249" spans="1:5">
      <c r="A249" s="3"/>
      <c r="B249" s="9" t="s">
        <v>108</v>
      </c>
      <c r="C249" s="61">
        <f>0.03/A380</f>
        <v>8.6805555555555551E-4</v>
      </c>
      <c r="D249" t="s">
        <v>389</v>
      </c>
    </row>
    <row r="250" spans="1:5">
      <c r="A250" s="3"/>
      <c r="B250" s="3" t="s">
        <v>8</v>
      </c>
      <c r="C250" s="6">
        <f>SUM(C244:C249)</f>
        <v>0.15623842592592593</v>
      </c>
    </row>
    <row r="251" spans="1:5">
      <c r="A251" s="3" t="s">
        <v>135</v>
      </c>
      <c r="C251" s="4"/>
    </row>
    <row r="252" spans="1:5">
      <c r="A252" s="3"/>
      <c r="C252" s="4"/>
    </row>
    <row r="253" spans="1:5">
      <c r="A253" s="3"/>
      <c r="B253" t="s">
        <v>19</v>
      </c>
      <c r="C253" s="61">
        <v>5.7500000000000002E-2</v>
      </c>
      <c r="D253" t="s">
        <v>6</v>
      </c>
    </row>
    <row r="254" spans="1:5">
      <c r="A254" s="3"/>
      <c r="B254" t="s">
        <v>20</v>
      </c>
      <c r="C254" s="61">
        <v>0.02</v>
      </c>
      <c r="D254" t="s">
        <v>354</v>
      </c>
    </row>
    <row r="255" spans="1:5">
      <c r="A255" s="3"/>
      <c r="B255" t="s">
        <v>136</v>
      </c>
      <c r="C255" s="61">
        <f>0.174%*A382</f>
        <v>1.0944599999999998E-3</v>
      </c>
      <c r="D255" t="s">
        <v>418</v>
      </c>
    </row>
    <row r="256" spans="1:5">
      <c r="A256" s="3"/>
      <c r="B256" t="s">
        <v>137</v>
      </c>
      <c r="C256" s="61">
        <f>0.25/$A$380</f>
        <v>7.2337962962962955E-3</v>
      </c>
      <c r="D256" t="s">
        <v>340</v>
      </c>
    </row>
    <row r="257" spans="1:8">
      <c r="A257" s="3"/>
      <c r="B257" s="3" t="s">
        <v>8</v>
      </c>
      <c r="C257" s="6">
        <f>SUM(C253:C256)</f>
        <v>8.5828256296296299E-2</v>
      </c>
    </row>
    <row r="258" spans="1:8">
      <c r="A258" s="3" t="s">
        <v>138</v>
      </c>
      <c r="C258" s="4"/>
    </row>
    <row r="259" spans="1:8">
      <c r="A259" s="3"/>
      <c r="C259" s="4"/>
    </row>
    <row r="260" spans="1:8">
      <c r="A260" s="3"/>
      <c r="B260" t="s">
        <v>19</v>
      </c>
      <c r="C260" s="61">
        <v>4.4999999999999998E-2</v>
      </c>
      <c r="D260" t="s">
        <v>6</v>
      </c>
    </row>
    <row r="261" spans="1:8">
      <c r="A261" s="3"/>
      <c r="B261" t="s">
        <v>20</v>
      </c>
      <c r="C261" s="61">
        <f>(4.125%+4.017%)/2</f>
        <v>4.0710000000000003E-2</v>
      </c>
      <c r="D261" t="s">
        <v>355</v>
      </c>
    </row>
    <row r="262" spans="1:8">
      <c r="A262" s="3"/>
      <c r="B262" t="s">
        <v>47</v>
      </c>
      <c r="C262" s="61">
        <f>0.75/A380</f>
        <v>2.1701388888888888E-2</v>
      </c>
      <c r="D262" t="s">
        <v>338</v>
      </c>
      <c r="E262" s="63"/>
      <c r="H262" s="9"/>
    </row>
    <row r="263" spans="1:8">
      <c r="A263" s="3"/>
      <c r="B263" t="s">
        <v>33</v>
      </c>
      <c r="C263" s="61">
        <f>1.85/A380</f>
        <v>5.3530092592592594E-2</v>
      </c>
      <c r="D263" t="s">
        <v>491</v>
      </c>
    </row>
    <row r="264" spans="1:8">
      <c r="A264" s="3"/>
      <c r="B264" s="3" t="s">
        <v>8</v>
      </c>
      <c r="C264" s="6">
        <f>SUM(C260:C263)</f>
        <v>0.16094148148148149</v>
      </c>
    </row>
    <row r="265" spans="1:8">
      <c r="A265" s="3" t="s">
        <v>139</v>
      </c>
      <c r="C265" s="4"/>
    </row>
    <row r="266" spans="1:8">
      <c r="A266" s="3"/>
      <c r="C266" s="4"/>
    </row>
    <row r="267" spans="1:8">
      <c r="A267" s="3"/>
      <c r="B267" t="s">
        <v>140</v>
      </c>
      <c r="C267" s="61">
        <v>0</v>
      </c>
      <c r="D267" t="s">
        <v>141</v>
      </c>
    </row>
    <row r="268" spans="1:8">
      <c r="A268" s="3"/>
      <c r="B268" t="s">
        <v>78</v>
      </c>
      <c r="C268" s="61">
        <f>1.25/A380</f>
        <v>3.6168981481481483E-2</v>
      </c>
      <c r="D268" t="s">
        <v>255</v>
      </c>
    </row>
    <row r="269" spans="1:8">
      <c r="A269" s="3"/>
      <c r="B269" t="s">
        <v>142</v>
      </c>
      <c r="C269" s="73">
        <f>0.03/A380</f>
        <v>8.6805555555555551E-4</v>
      </c>
      <c r="D269" t="s">
        <v>63</v>
      </c>
    </row>
    <row r="270" spans="1:8">
      <c r="A270" s="3"/>
      <c r="B270" t="s">
        <v>59</v>
      </c>
      <c r="C270" s="73">
        <f>0.06*A382</f>
        <v>3.7739999999999996E-2</v>
      </c>
      <c r="D270" t="s">
        <v>426</v>
      </c>
    </row>
    <row r="271" spans="1:8">
      <c r="A271" s="3"/>
      <c r="B271" s="3" t="s">
        <v>8</v>
      </c>
      <c r="C271" s="6">
        <f>SUM(C267:C270)</f>
        <v>7.4777037037037031E-2</v>
      </c>
      <c r="D271" s="78"/>
    </row>
    <row r="272" spans="1:8">
      <c r="A272" s="3"/>
      <c r="C272" s="4"/>
      <c r="D272" s="78"/>
    </row>
    <row r="273" spans="1:9">
      <c r="A273" s="3" t="s">
        <v>143</v>
      </c>
      <c r="C273" s="4"/>
      <c r="I273" s="16"/>
    </row>
    <row r="274" spans="1:9">
      <c r="A274" s="3"/>
      <c r="C274" s="4"/>
    </row>
    <row r="275" spans="1:9">
      <c r="A275" s="3"/>
      <c r="B275" t="s">
        <v>19</v>
      </c>
      <c r="C275" s="61">
        <v>0.06</v>
      </c>
      <c r="D275" t="s">
        <v>6</v>
      </c>
    </row>
    <row r="276" spans="1:9">
      <c r="A276" s="3"/>
      <c r="B276" t="s">
        <v>134</v>
      </c>
      <c r="C276" s="61">
        <v>0.05</v>
      </c>
      <c r="D276" t="s">
        <v>6</v>
      </c>
    </row>
    <row r="277" spans="1:9">
      <c r="A277" s="3"/>
      <c r="B277" t="s">
        <v>46</v>
      </c>
      <c r="C277" s="61">
        <v>0.01</v>
      </c>
      <c r="D277" t="s">
        <v>362</v>
      </c>
    </row>
    <row r="278" spans="1:9">
      <c r="A278" s="3"/>
      <c r="B278" t="s">
        <v>53</v>
      </c>
      <c r="C278" s="61">
        <f>1.65/A380</f>
        <v>4.7743055555555552E-2</v>
      </c>
      <c r="D278" t="s">
        <v>273</v>
      </c>
    </row>
    <row r="279" spans="1:9">
      <c r="A279" s="3"/>
      <c r="B279" s="3" t="s">
        <v>8</v>
      </c>
      <c r="C279" s="6">
        <f>SUM(C275:C278)</f>
        <v>0.16774305555555555</v>
      </c>
      <c r="D279" s="78"/>
    </row>
    <row r="280" spans="1:9">
      <c r="A280" s="3" t="s">
        <v>248</v>
      </c>
      <c r="C280" s="4"/>
    </row>
    <row r="281" spans="1:9">
      <c r="A281" s="3"/>
      <c r="B281" t="s">
        <v>250</v>
      </c>
      <c r="C281" s="4">
        <v>0.115</v>
      </c>
      <c r="D281" t="s">
        <v>492</v>
      </c>
    </row>
    <row r="282" spans="1:9">
      <c r="A282" s="3"/>
      <c r="B282" t="s">
        <v>146</v>
      </c>
      <c r="C282" s="4">
        <f>0.5/A380</f>
        <v>1.4467592592592591E-2</v>
      </c>
      <c r="D282" t="s">
        <v>465</v>
      </c>
    </row>
    <row r="283" spans="1:9">
      <c r="A283" s="3"/>
      <c r="B283" t="s">
        <v>33</v>
      </c>
      <c r="C283" s="4">
        <f>1.39%*A382</f>
        <v>8.7431000000000002E-3</v>
      </c>
      <c r="D283" t="s">
        <v>249</v>
      </c>
    </row>
    <row r="284" spans="1:9">
      <c r="A284" s="3"/>
      <c r="B284" s="3" t="s">
        <v>8</v>
      </c>
      <c r="C284" s="49">
        <f>SUM(C281:C283)</f>
        <v>0.13821069259259261</v>
      </c>
    </row>
    <row r="285" spans="1:9">
      <c r="A285" s="3" t="s">
        <v>144</v>
      </c>
      <c r="C285" s="4"/>
    </row>
    <row r="286" spans="1:9">
      <c r="A286" s="3"/>
      <c r="C286" s="4"/>
    </row>
    <row r="287" spans="1:9">
      <c r="A287" s="3"/>
      <c r="B287" t="s">
        <v>19</v>
      </c>
      <c r="C287" s="61">
        <v>7.0000000000000007E-2</v>
      </c>
      <c r="D287" t="s">
        <v>6</v>
      </c>
    </row>
    <row r="288" spans="1:9">
      <c r="A288" s="3"/>
      <c r="B288" t="s">
        <v>145</v>
      </c>
      <c r="C288" s="61">
        <v>0.05</v>
      </c>
      <c r="D288" t="s">
        <v>6</v>
      </c>
    </row>
    <row r="289" spans="1:10">
      <c r="A289" s="3"/>
      <c r="B289" t="s">
        <v>406</v>
      </c>
      <c r="C289" s="61">
        <f>1.25/A380</f>
        <v>3.6168981481481483E-2</v>
      </c>
      <c r="D289" t="s">
        <v>255</v>
      </c>
    </row>
    <row r="290" spans="1:10">
      <c r="A290" s="3"/>
      <c r="B290" s="3" t="s">
        <v>8</v>
      </c>
      <c r="C290" s="6">
        <f>SUM(C287:C289)</f>
        <v>0.15616898148148151</v>
      </c>
    </row>
    <row r="291" spans="1:10">
      <c r="A291" s="3" t="s">
        <v>148</v>
      </c>
      <c r="C291" s="4"/>
    </row>
    <row r="292" spans="1:10">
      <c r="A292" s="3"/>
      <c r="C292" s="4"/>
    </row>
    <row r="293" spans="1:10">
      <c r="A293" s="3"/>
      <c r="B293" t="s">
        <v>19</v>
      </c>
      <c r="C293" s="73">
        <v>0.06</v>
      </c>
      <c r="D293" t="s">
        <v>6</v>
      </c>
    </row>
    <row r="294" spans="1:10">
      <c r="A294" s="3"/>
      <c r="B294" s="9" t="s">
        <v>46</v>
      </c>
      <c r="C294" s="61">
        <v>2.5000000000000001E-2</v>
      </c>
      <c r="D294" t="s">
        <v>356</v>
      </c>
    </row>
    <row r="295" spans="1:10">
      <c r="A295" s="3"/>
      <c r="B295" t="s">
        <v>149</v>
      </c>
      <c r="C295" s="61">
        <v>0.01</v>
      </c>
      <c r="D295" t="s">
        <v>150</v>
      </c>
    </row>
    <row r="296" spans="1:10">
      <c r="A296" s="3"/>
      <c r="B296" t="s">
        <v>277</v>
      </c>
      <c r="C296" s="61">
        <f>0.03/A380</f>
        <v>8.6805555555555551E-4</v>
      </c>
      <c r="D296" t="s">
        <v>343</v>
      </c>
    </row>
    <row r="297" spans="1:10">
      <c r="A297" s="3"/>
      <c r="B297" t="s">
        <v>12</v>
      </c>
      <c r="C297" s="61">
        <f>2.67%*A382</f>
        <v>1.6794299999999998E-2</v>
      </c>
      <c r="D297" t="s">
        <v>466</v>
      </c>
    </row>
    <row r="298" spans="1:10">
      <c r="A298" s="3"/>
      <c r="B298" s="9" t="s">
        <v>78</v>
      </c>
      <c r="C298" s="61">
        <f>0.62/A380</f>
        <v>1.7939814814814815E-2</v>
      </c>
      <c r="D298" t="s">
        <v>254</v>
      </c>
    </row>
    <row r="299" spans="1:10">
      <c r="A299" s="3"/>
      <c r="B299" s="3" t="s">
        <v>8</v>
      </c>
      <c r="C299" s="6">
        <f>SUM(C293:C298)</f>
        <v>0.13060217037037036</v>
      </c>
    </row>
    <row r="300" spans="1:10">
      <c r="A300" s="3" t="s">
        <v>151</v>
      </c>
      <c r="C300" s="4"/>
      <c r="J300" s="43"/>
    </row>
    <row r="301" spans="1:10">
      <c r="A301" s="3"/>
      <c r="C301" s="4"/>
      <c r="J301" s="16"/>
    </row>
    <row r="302" spans="1:10">
      <c r="A302" s="3"/>
      <c r="B302" t="s">
        <v>19</v>
      </c>
      <c r="C302" s="61">
        <v>4.2000000000000003E-2</v>
      </c>
      <c r="D302" t="s">
        <v>361</v>
      </c>
      <c r="J302" s="38"/>
    </row>
    <row r="303" spans="1:10">
      <c r="A303" s="3"/>
      <c r="B303" t="s">
        <v>134</v>
      </c>
      <c r="C303" s="61">
        <v>0.04</v>
      </c>
    </row>
    <row r="304" spans="1:10">
      <c r="A304" s="3"/>
      <c r="B304" t="s">
        <v>152</v>
      </c>
      <c r="C304" s="61">
        <f>2%</f>
        <v>0.02</v>
      </c>
      <c r="D304" t="s">
        <v>360</v>
      </c>
      <c r="J304" s="38"/>
    </row>
    <row r="305" spans="1:10">
      <c r="A305" s="3"/>
      <c r="B305" t="s">
        <v>153</v>
      </c>
      <c r="C305" s="61">
        <f>1.25/A380</f>
        <v>3.6168981481481483E-2</v>
      </c>
      <c r="D305" t="s">
        <v>255</v>
      </c>
      <c r="H305" s="36"/>
    </row>
    <row r="306" spans="1:10">
      <c r="A306" s="3"/>
      <c r="B306" t="s">
        <v>154</v>
      </c>
      <c r="C306" s="61">
        <f>0.15/A380</f>
        <v>4.3402777777777771E-3</v>
      </c>
      <c r="D306" t="s">
        <v>256</v>
      </c>
      <c r="J306" s="41"/>
    </row>
    <row r="307" spans="1:10">
      <c r="A307" s="3"/>
      <c r="B307" t="s">
        <v>28</v>
      </c>
      <c r="C307" s="61">
        <f>0.15%*A382</f>
        <v>9.435E-4</v>
      </c>
      <c r="D307" t="s">
        <v>278</v>
      </c>
    </row>
    <row r="308" spans="1:10">
      <c r="A308" s="3"/>
      <c r="B308" s="3" t="s">
        <v>8</v>
      </c>
      <c r="C308" s="6">
        <f>SUM(C302:C307)</f>
        <v>0.14345275925925929</v>
      </c>
      <c r="J308" s="46"/>
    </row>
    <row r="309" spans="1:10">
      <c r="A309" s="3" t="s">
        <v>155</v>
      </c>
      <c r="C309" s="4"/>
      <c r="J309" s="42"/>
    </row>
    <row r="310" spans="1:10">
      <c r="A310" s="3"/>
      <c r="C310" s="4"/>
      <c r="J310" s="44"/>
    </row>
    <row r="311" spans="1:10">
      <c r="A311" s="3"/>
      <c r="B311" t="s">
        <v>19</v>
      </c>
      <c r="C311" s="61">
        <v>7.0000000000000007E-2</v>
      </c>
      <c r="D311" t="s">
        <v>6</v>
      </c>
    </row>
    <row r="312" spans="1:10">
      <c r="A312" s="3"/>
      <c r="B312" t="s">
        <v>46</v>
      </c>
      <c r="C312" s="61">
        <v>2.5000000000000001E-2</v>
      </c>
      <c r="D312" t="s">
        <v>156</v>
      </c>
      <c r="J312" s="44"/>
    </row>
    <row r="313" spans="1:10">
      <c r="A313" s="3"/>
      <c r="B313" s="9" t="s">
        <v>157</v>
      </c>
      <c r="C313" s="61">
        <f>1.5/A380</f>
        <v>4.3402777777777776E-2</v>
      </c>
      <c r="D313" t="s">
        <v>425</v>
      </c>
    </row>
    <row r="314" spans="1:10">
      <c r="A314" s="3"/>
      <c r="B314" s="3" t="s">
        <v>8</v>
      </c>
      <c r="C314" s="6">
        <f>SUM(C311:C313)</f>
        <v>0.13840277777777776</v>
      </c>
    </row>
    <row r="315" spans="1:10">
      <c r="A315" s="3" t="s">
        <v>158</v>
      </c>
      <c r="C315" s="4"/>
    </row>
    <row r="316" spans="1:10">
      <c r="A316" s="3"/>
      <c r="C316" s="4"/>
    </row>
    <row r="317" spans="1:10">
      <c r="A317" s="3"/>
      <c r="B317" t="s">
        <v>19</v>
      </c>
      <c r="C317" s="61">
        <v>6.25E-2</v>
      </c>
      <c r="D317" t="s">
        <v>6</v>
      </c>
    </row>
    <row r="318" spans="1:10">
      <c r="A318" s="3"/>
      <c r="B318" s="9" t="s">
        <v>46</v>
      </c>
      <c r="C318" s="61">
        <v>0.02</v>
      </c>
      <c r="D318" t="s">
        <v>339</v>
      </c>
    </row>
    <row r="319" spans="1:10">
      <c r="A319" s="3"/>
      <c r="B319" t="s">
        <v>159</v>
      </c>
      <c r="C319" s="61">
        <f>0.5/A380</f>
        <v>1.4467592592592591E-2</v>
      </c>
      <c r="D319" t="s">
        <v>160</v>
      </c>
    </row>
    <row r="320" spans="1:10">
      <c r="A320" s="3"/>
      <c r="B320" t="s">
        <v>161</v>
      </c>
      <c r="C320" s="61">
        <f>0.12*$A$382</f>
        <v>7.5479999999999992E-2</v>
      </c>
      <c r="D320" t="s">
        <v>493</v>
      </c>
    </row>
    <row r="321" spans="1:5">
      <c r="A321" s="3"/>
      <c r="B321" t="s">
        <v>162</v>
      </c>
      <c r="C321" s="61">
        <f>0.06/A380</f>
        <v>1.736111111111111E-3</v>
      </c>
      <c r="D321" t="s">
        <v>163</v>
      </c>
    </row>
    <row r="322" spans="1:5">
      <c r="A322" s="3"/>
      <c r="B322" s="3" t="s">
        <v>8</v>
      </c>
      <c r="C322" s="6">
        <f>SUM(C317:C321)</f>
        <v>0.17418370370370367</v>
      </c>
    </row>
    <row r="323" spans="1:5">
      <c r="A323" s="3" t="s">
        <v>164</v>
      </c>
      <c r="C323" s="4"/>
    </row>
    <row r="324" spans="1:5">
      <c r="A324" s="3"/>
      <c r="C324" s="4"/>
    </row>
    <row r="325" spans="1:5">
      <c r="A325" s="3"/>
      <c r="B325" t="s">
        <v>19</v>
      </c>
      <c r="C325" s="61">
        <v>4.8500000000000001E-2</v>
      </c>
      <c r="D325" t="s">
        <v>37</v>
      </c>
    </row>
    <row r="326" spans="1:5">
      <c r="A326" s="3"/>
      <c r="B326" t="s">
        <v>20</v>
      </c>
      <c r="C326" s="61">
        <f>(2.9%+2.4%)/2</f>
        <v>2.6499999999999999E-2</v>
      </c>
      <c r="D326" t="s">
        <v>390</v>
      </c>
    </row>
    <row r="327" spans="1:5">
      <c r="A327" s="3"/>
      <c r="B327" t="s">
        <v>165</v>
      </c>
      <c r="C327" s="61">
        <v>3.5000000000000003E-2</v>
      </c>
      <c r="D327" t="s">
        <v>166</v>
      </c>
    </row>
    <row r="328" spans="1:5">
      <c r="A328" s="3"/>
      <c r="B328" t="s">
        <v>279</v>
      </c>
      <c r="C328" s="61">
        <f>0.96/A380</f>
        <v>2.7777777777777776E-2</v>
      </c>
      <c r="D328" t="s">
        <v>410</v>
      </c>
    </row>
    <row r="329" spans="1:5">
      <c r="A329" s="3"/>
      <c r="B329" t="s">
        <v>280</v>
      </c>
      <c r="C329" s="61">
        <f>0.52/A380</f>
        <v>1.5046296296296295E-2</v>
      </c>
      <c r="D329" t="s">
        <v>409</v>
      </c>
    </row>
    <row r="330" spans="1:5">
      <c r="A330" s="3"/>
      <c r="B330" t="s">
        <v>59</v>
      </c>
      <c r="C330" s="61">
        <f>0.36/A380</f>
        <v>1.0416666666666666E-2</v>
      </c>
      <c r="D330" t="s">
        <v>467</v>
      </c>
    </row>
    <row r="331" spans="1:5">
      <c r="A331" s="3"/>
      <c r="B331" s="3" t="s">
        <v>8</v>
      </c>
      <c r="C331" s="6">
        <f>SUM(C325:C330)</f>
        <v>0.16324074074074074</v>
      </c>
    </row>
    <row r="332" spans="1:5">
      <c r="A332" s="3" t="s">
        <v>167</v>
      </c>
      <c r="C332" s="4"/>
    </row>
    <row r="333" spans="1:5">
      <c r="A333" s="3"/>
      <c r="C333" s="61"/>
    </row>
    <row r="334" spans="1:5">
      <c r="A334" s="3"/>
      <c r="B334" t="s">
        <v>19</v>
      </c>
      <c r="C334" s="61">
        <v>0.06</v>
      </c>
      <c r="D334" t="s">
        <v>6</v>
      </c>
    </row>
    <row r="335" spans="1:5">
      <c r="A335" s="3"/>
      <c r="B335" t="s">
        <v>46</v>
      </c>
      <c r="C335" s="61">
        <v>5.0000000000000001E-3</v>
      </c>
      <c r="D335" t="s">
        <v>359</v>
      </c>
      <c r="E335" s="64"/>
    </row>
    <row r="336" spans="1:5">
      <c r="A336" s="3"/>
      <c r="B336" t="s">
        <v>345</v>
      </c>
      <c r="C336" s="61">
        <v>2.4E-2</v>
      </c>
      <c r="D336" s="82" t="s">
        <v>344</v>
      </c>
    </row>
    <row r="337" spans="1:9">
      <c r="A337" s="3"/>
      <c r="B337" s="3" t="s">
        <v>8</v>
      </c>
      <c r="C337" s="6">
        <f>SUM(C334:C336)</f>
        <v>8.8999999999999996E-2</v>
      </c>
    </row>
    <row r="338" spans="1:9">
      <c r="A338" s="3" t="s">
        <v>168</v>
      </c>
      <c r="C338" s="4"/>
    </row>
    <row r="339" spans="1:9">
      <c r="A339" s="3"/>
      <c r="C339" s="61"/>
    </row>
    <row r="340" spans="1:9">
      <c r="A340" s="3"/>
      <c r="B340" t="s">
        <v>169</v>
      </c>
      <c r="C340" s="61">
        <v>0.05</v>
      </c>
    </row>
    <row r="341" spans="1:9">
      <c r="A341" s="3"/>
      <c r="B341" t="s">
        <v>22</v>
      </c>
      <c r="C341" s="61">
        <f>0.82/A380</f>
        <v>2.372685185185185E-2</v>
      </c>
      <c r="D341" t="s">
        <v>421</v>
      </c>
    </row>
    <row r="342" spans="1:9">
      <c r="A342" s="3"/>
      <c r="B342" t="s">
        <v>419</v>
      </c>
      <c r="C342" s="61">
        <f>0.12/A380</f>
        <v>3.472222222222222E-3</v>
      </c>
      <c r="D342" t="s">
        <v>420</v>
      </c>
    </row>
    <row r="343" spans="1:9">
      <c r="A343" s="3"/>
      <c r="B343" s="3" t="s">
        <v>8</v>
      </c>
      <c r="C343" s="6">
        <f>SUM(C340:C342)</f>
        <v>7.7199074074074073E-2</v>
      </c>
      <c r="I343" s="29"/>
    </row>
    <row r="344" spans="1:9">
      <c r="A344" s="3" t="s">
        <v>170</v>
      </c>
      <c r="C344" s="4"/>
    </row>
    <row r="345" spans="1:9">
      <c r="A345" s="3"/>
      <c r="C345" s="4"/>
    </row>
    <row r="346" spans="1:9">
      <c r="A346" s="3"/>
      <c r="B346" t="s">
        <v>19</v>
      </c>
      <c r="C346" s="61">
        <v>6.5000000000000002E-2</v>
      </c>
      <c r="D346" t="s">
        <v>6</v>
      </c>
    </row>
    <row r="347" spans="1:9">
      <c r="A347" s="3"/>
      <c r="B347" t="s">
        <v>20</v>
      </c>
      <c r="C347" s="61">
        <f>(3%+3.75%)/2</f>
        <v>3.3750000000000002E-2</v>
      </c>
      <c r="D347" t="s">
        <v>494</v>
      </c>
    </row>
    <row r="348" spans="1:9">
      <c r="A348" s="3"/>
      <c r="B348" s="9" t="s">
        <v>171</v>
      </c>
      <c r="C348" s="61">
        <f>(6%+9%)/2</f>
        <v>7.4999999999999997E-2</v>
      </c>
      <c r="D348" t="s">
        <v>265</v>
      </c>
    </row>
    <row r="349" spans="1:9">
      <c r="A349" s="3"/>
      <c r="B349" s="9" t="s">
        <v>172</v>
      </c>
      <c r="C349" s="61">
        <f>0.25/A380</f>
        <v>7.2337962962962955E-3</v>
      </c>
      <c r="D349" t="s">
        <v>263</v>
      </c>
    </row>
    <row r="350" spans="1:9">
      <c r="A350" s="3"/>
      <c r="B350" s="9" t="s">
        <v>173</v>
      </c>
      <c r="C350" s="61">
        <f>0.7/A380</f>
        <v>2.0254629629629626E-2</v>
      </c>
      <c r="D350" t="s">
        <v>264</v>
      </c>
    </row>
    <row r="351" spans="1:9">
      <c r="A351" s="3"/>
      <c r="B351" s="9" t="s">
        <v>454</v>
      </c>
      <c r="C351" s="61">
        <f>0.4/A380</f>
        <v>1.1574074074074073E-2</v>
      </c>
      <c r="D351" t="s">
        <v>495</v>
      </c>
    </row>
    <row r="352" spans="1:9">
      <c r="A352" s="3"/>
      <c r="B352" s="3" t="s">
        <v>8</v>
      </c>
      <c r="C352" s="6">
        <f>SUM(C346:C351)</f>
        <v>0.21281250000000002</v>
      </c>
    </row>
    <row r="353" spans="1:10">
      <c r="A353" s="3" t="s">
        <v>174</v>
      </c>
      <c r="C353" s="4"/>
      <c r="E353" s="63"/>
    </row>
    <row r="354" spans="1:10">
      <c r="A354" s="3"/>
      <c r="C354" s="4"/>
    </row>
    <row r="355" spans="1:10">
      <c r="A355" s="3"/>
      <c r="B355" t="s">
        <v>19</v>
      </c>
      <c r="C355" s="61">
        <v>0</v>
      </c>
      <c r="D355" t="s">
        <v>274</v>
      </c>
    </row>
    <row r="356" spans="1:10">
      <c r="A356" s="3"/>
      <c r="B356" t="s">
        <v>271</v>
      </c>
      <c r="C356" s="61">
        <f>3.64/$A$380</f>
        <v>0.10532407407407407</v>
      </c>
      <c r="D356" t="s">
        <v>496</v>
      </c>
    </row>
    <row r="357" spans="1:10">
      <c r="A357" s="3"/>
      <c r="B357" t="s">
        <v>451</v>
      </c>
      <c r="C357" s="61">
        <f>0.29/A380</f>
        <v>8.3912037037037028E-3</v>
      </c>
      <c r="D357" t="s">
        <v>422</v>
      </c>
    </row>
    <row r="358" spans="1:10">
      <c r="A358" s="3"/>
      <c r="B358" t="s">
        <v>452</v>
      </c>
      <c r="C358" s="61">
        <f>0.08/A380</f>
        <v>2.3148148148148147E-3</v>
      </c>
      <c r="D358" t="s">
        <v>423</v>
      </c>
    </row>
    <row r="359" spans="1:10">
      <c r="A359" s="3"/>
      <c r="B359" s="3" t="s">
        <v>8</v>
      </c>
      <c r="C359" s="6">
        <f>SUM(C355:C358)</f>
        <v>0.11603009259259259</v>
      </c>
    </row>
    <row r="360" spans="1:10">
      <c r="A360" s="3"/>
      <c r="C360" s="4"/>
    </row>
    <row r="361" spans="1:10">
      <c r="A361" s="3" t="s">
        <v>175</v>
      </c>
      <c r="C361" s="4"/>
      <c r="E361" s="63"/>
    </row>
    <row r="362" spans="1:10">
      <c r="A362" s="3"/>
      <c r="C362" s="4"/>
      <c r="J362" s="43"/>
    </row>
    <row r="363" spans="1:10">
      <c r="A363" s="3"/>
      <c r="B363" t="s">
        <v>19</v>
      </c>
      <c r="C363" s="61">
        <v>0.05</v>
      </c>
      <c r="D363" t="s">
        <v>176</v>
      </c>
      <c r="J363" s="38"/>
    </row>
    <row r="364" spans="1:10">
      <c r="A364" s="3"/>
      <c r="B364" t="s">
        <v>46</v>
      </c>
      <c r="C364" s="61">
        <v>5.0000000000000001E-3</v>
      </c>
      <c r="D364" t="s">
        <v>407</v>
      </c>
    </row>
    <row r="365" spans="1:10">
      <c r="A365" s="3"/>
      <c r="B365" t="s">
        <v>177</v>
      </c>
      <c r="C365" s="61">
        <f>0.75/A380</f>
        <v>2.1701388888888888E-2</v>
      </c>
      <c r="D365" t="s">
        <v>200</v>
      </c>
    </row>
    <row r="366" spans="1:10">
      <c r="A366" s="3"/>
      <c r="B366" t="s">
        <v>59</v>
      </c>
      <c r="C366" s="61">
        <f>0.48573%*A382</f>
        <v>3.0552417E-3</v>
      </c>
      <c r="D366" t="s">
        <v>497</v>
      </c>
    </row>
    <row r="367" spans="1:10">
      <c r="A367" s="3"/>
      <c r="B367" s="3" t="s">
        <v>8</v>
      </c>
      <c r="C367" s="6">
        <f>SUM(C363:C366)</f>
        <v>7.9756630588888891E-2</v>
      </c>
    </row>
    <row r="368" spans="1:10">
      <c r="A368" s="3" t="s">
        <v>178</v>
      </c>
      <c r="C368" s="4"/>
    </row>
    <row r="369" spans="1:13">
      <c r="A369" s="3"/>
      <c r="C369" s="4"/>
      <c r="K369" s="32"/>
    </row>
    <row r="370" spans="1:13">
      <c r="A370" s="3"/>
      <c r="B370" t="s">
        <v>19</v>
      </c>
      <c r="C370" s="61">
        <v>0.04</v>
      </c>
      <c r="D370" t="s">
        <v>37</v>
      </c>
      <c r="K370" s="32"/>
    </row>
    <row r="371" spans="1:13">
      <c r="A371" s="3"/>
      <c r="B371" t="s">
        <v>46</v>
      </c>
      <c r="C371" s="61">
        <v>1.4999999999999999E-2</v>
      </c>
      <c r="D371" t="s">
        <v>358</v>
      </c>
      <c r="K371" s="32"/>
    </row>
    <row r="372" spans="1:13">
      <c r="A372" s="3"/>
      <c r="B372" t="s">
        <v>108</v>
      </c>
      <c r="C372" s="61">
        <f>0.04/A380</f>
        <v>1.1574074074074073E-3</v>
      </c>
      <c r="D372" t="s">
        <v>424</v>
      </c>
      <c r="K372" s="50"/>
    </row>
    <row r="373" spans="1:13">
      <c r="A373" s="3"/>
      <c r="B373" t="s">
        <v>33</v>
      </c>
      <c r="C373" s="61">
        <f>2.3%*A382</f>
        <v>1.4467000000000001E-2</v>
      </c>
      <c r="D373" t="s">
        <v>461</v>
      </c>
      <c r="K373" s="32"/>
      <c r="M373" s="20"/>
    </row>
    <row r="374" spans="1:13">
      <c r="A374" s="3"/>
      <c r="B374" t="s">
        <v>78</v>
      </c>
      <c r="C374" s="61">
        <f>0.75/A380</f>
        <v>2.1701388888888888E-2</v>
      </c>
      <c r="D374" t="s">
        <v>357</v>
      </c>
      <c r="K374" s="32"/>
    </row>
    <row r="375" spans="1:13">
      <c r="A375" s="3"/>
      <c r="B375" s="3" t="s">
        <v>8</v>
      </c>
      <c r="C375" s="6">
        <f>SUM(C370:C374)</f>
        <v>9.2325796296296309E-2</v>
      </c>
      <c r="D375" s="3"/>
    </row>
    <row r="376" spans="1:13">
      <c r="C376" s="61"/>
    </row>
    <row r="377" spans="1:13">
      <c r="B377" s="3"/>
      <c r="C377" s="6"/>
      <c r="D377" s="3"/>
    </row>
    <row r="378" spans="1:13">
      <c r="C378" s="4"/>
    </row>
    <row r="379" spans="1:13">
      <c r="A379" s="3" t="s">
        <v>179</v>
      </c>
      <c r="C379" s="4"/>
    </row>
    <row r="380" spans="1:13">
      <c r="A380" s="11">
        <v>34.56</v>
      </c>
      <c r="C380" s="4"/>
    </row>
    <row r="381" spans="1:13">
      <c r="A381" t="s">
        <v>180</v>
      </c>
      <c r="C381" s="4"/>
    </row>
    <row r="382" spans="1:13">
      <c r="A382" s="12">
        <v>0.629</v>
      </c>
      <c r="C382" s="4"/>
    </row>
    <row r="383" spans="1:13">
      <c r="C383" s="10"/>
    </row>
    <row r="384" spans="1:13">
      <c r="A384" s="3" t="s">
        <v>181</v>
      </c>
      <c r="B384" t="s">
        <v>182</v>
      </c>
      <c r="C384" s="10"/>
    </row>
    <row r="385" spans="1:8">
      <c r="B385" t="s">
        <v>512</v>
      </c>
      <c r="C385" s="10"/>
    </row>
    <row r="386" spans="1:8">
      <c r="C386" s="10"/>
    </row>
    <row r="387" spans="1:8">
      <c r="B387" s="74" t="s">
        <v>513</v>
      </c>
      <c r="C387" s="10"/>
    </row>
    <row r="394" spans="1:8">
      <c r="A394" s="38"/>
      <c r="H394" s="16"/>
    </row>
    <row r="395" spans="1:8">
      <c r="A395" s="38"/>
    </row>
  </sheetData>
  <printOptions gridLines="1"/>
  <pageMargins left="0.7" right="0.7" top="0.75" bottom="0.75" header="0.3" footer="0.3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APPENDIX B</vt:lpstr>
      <vt:lpstr>APPENDIX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Mackey</dc:creator>
  <cp:lastModifiedBy>Kevin Kaufman</cp:lastModifiedBy>
  <cp:lastPrinted>2023-08-10T14:21:12Z</cp:lastPrinted>
  <dcterms:created xsi:type="dcterms:W3CDTF">2012-08-29T18:58:13Z</dcterms:created>
  <dcterms:modified xsi:type="dcterms:W3CDTF">2023-11-01T17:56:12Z</dcterms:modified>
</cp:coreProperties>
</file>